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82" activeTab="0"/>
  </bookViews>
  <sheets>
    <sheet name="Hotel info sheet" sheetId="1" r:id="rId1"/>
    <sheet name="resold electricity calculation" sheetId="2" r:id="rId2"/>
    <sheet name="room hvac options" sheetId="3" r:id="rId3"/>
    <sheet name="conference room calc" sheetId="4" r:id="rId4"/>
    <sheet name="Gr Total Electricity" sheetId="5" r:id="rId5"/>
    <sheet name="resold water calculation" sheetId="6" r:id="rId6"/>
  </sheets>
  <definedNames/>
  <calcPr fullCalcOnLoad="1"/>
</workbook>
</file>

<file path=xl/sharedStrings.xml><?xml version="1.0" encoding="utf-8"?>
<sst xmlns="http://schemas.openxmlformats.org/spreadsheetml/2006/main" count="447" uniqueCount="236">
  <si>
    <t>clock-radio</t>
  </si>
  <si>
    <t>bathroom vent</t>
  </si>
  <si>
    <t>bathroom light</t>
  </si>
  <si>
    <t>hair dryer</t>
  </si>
  <si>
    <t xml:space="preserve">coffee maker </t>
  </si>
  <si>
    <t>microwave</t>
  </si>
  <si>
    <t>iron</t>
  </si>
  <si>
    <t>Wattage</t>
  </si>
  <si>
    <t>Hrs of Use per Rental Day</t>
  </si>
  <si>
    <t>kWh per Rental Day</t>
  </si>
  <si>
    <t>color television</t>
  </si>
  <si>
    <t>bathroom heat lamp</t>
  </si>
  <si>
    <t>bedside lamp</t>
  </si>
  <si>
    <t>floor lamp</t>
  </si>
  <si>
    <t>desk lamp</t>
  </si>
  <si>
    <t xml:space="preserve">Bathroom sink </t>
  </si>
  <si>
    <t>Shower</t>
  </si>
  <si>
    <t>Toilet</t>
  </si>
  <si>
    <t>Usage per Guest</t>
  </si>
  <si>
    <t xml:space="preserve">  with heater size 2kw (including blower fan)</t>
  </si>
  <si>
    <t>vertical fan coil unit blower fan (300cfm) -- room size 250-350sqft</t>
  </si>
  <si>
    <t>vertical fan coil unit blower fan (400cfm) -- room size 350-450sqft</t>
  </si>
  <si>
    <t>vertical fan coil unit blower fan (600cfm) -- room size 450-550sqft</t>
  </si>
  <si>
    <t>low vertical fan coil unit blower fan (200cfm) -- room size less than 250sqft</t>
  </si>
  <si>
    <t>low vertical fan coil unit blower fan (300cfm) -- room size 250-350sqft</t>
  </si>
  <si>
    <t>low vertical fan coil unit blower fan (400cfm) -- room size 350-450sqft</t>
  </si>
  <si>
    <t>low vertical fan coil unit blower fan (600cfm) -- room size 450-550sqft</t>
  </si>
  <si>
    <t>horizontal (ceiling) fan coil unit blower fan (200cfm) -- room size less than 250sqft</t>
  </si>
  <si>
    <t xml:space="preserve">  with no heater (just blower fan)</t>
  </si>
  <si>
    <t>horizontal (ceiling) fan coil unit blower fan (300cfm) -- room size 250-350sqft</t>
  </si>
  <si>
    <t>horizontal (ceiling) fan coil unit blower fan (400cfm) -- room size 350-450sqft</t>
  </si>
  <si>
    <t>horizontal (ceiling) fan coil unit blower fan (600cfm) -- room size 450-550sqft</t>
  </si>
  <si>
    <t>horizontal (ceiling) fan coil unit blower fan HIGH STATIC (400cfm) -- room size 350-450sqft</t>
  </si>
  <si>
    <t>horizontal (ceiling) fan coil unit blower fan HIGH STATIC (600cfm) -- room size 450-550sqft</t>
  </si>
  <si>
    <t>Period</t>
  </si>
  <si>
    <t>Total</t>
  </si>
  <si>
    <t>Conference Rooms</t>
  </si>
  <si>
    <t>Lighting</t>
  </si>
  <si>
    <t>hvac</t>
  </si>
  <si>
    <t>watts per sq ft</t>
  </si>
  <si>
    <t>watts per sq ft (per building code)</t>
  </si>
  <si>
    <t>Guest Rooms Rented</t>
  </si>
  <si>
    <t>Room Appliance &amp; Lighting</t>
  </si>
  <si>
    <t>watts per sq ft (30btus of cooling per sq ft/10seer=3watts)</t>
  </si>
  <si>
    <t>wattage per conference room</t>
  </si>
  <si>
    <t>this ccf factor will be multiplied by the number of hotel paying guests each month to get</t>
  </si>
  <si>
    <t xml:space="preserve">  $ charged per ccf by the water company to get the total water $s resold, then times the </t>
  </si>
  <si>
    <t xml:space="preserve">  the total ccfs of water resold; then the total ccfs of resold water will be multiplied by the</t>
  </si>
  <si>
    <t xml:space="preserve">  sales tax rate of the hotel to get the refund</t>
  </si>
  <si>
    <t>horizontal (ceiling) fan coil unit blower fan (800cfm) -- room size 550+ sqft</t>
  </si>
  <si>
    <t>vertical fan coil unit blower fan (800cfm) -- room size 550+ sqft</t>
  </si>
  <si>
    <t>horizontal (ceiling) fan coil unit blower fan HIGH STATIC (800cfm) -- room size 550+ sqft</t>
  </si>
  <si>
    <t>ptac -- btuh 7000 heat/cool unit -- annual estimated kwh for cooling</t>
  </si>
  <si>
    <t>ptac -- btuh 7000 heat/cool unit -- annual estimated kwh for heating</t>
  </si>
  <si>
    <t>ptac -- btuh 9000 heat/cool unit -- annual estimated kwh for cooling</t>
  </si>
  <si>
    <t>ptac -- btuh 9000 heat/cool unit -- annual estimated kwh for heating</t>
  </si>
  <si>
    <t>ptac -- btuh 12000 heat/cool unit -- annual estimated kwh for cooling</t>
  </si>
  <si>
    <t>ptac -- btuh 12000 heat/cool unit -- annual estimated kwh for heating</t>
  </si>
  <si>
    <t>ptac -- btuh 15000 heat/cool unit -- annual estimated kwh for cooling</t>
  </si>
  <si>
    <t>ptac -- btuh 15000 heat/cool unit -- annual estimated kwh for heating</t>
  </si>
  <si>
    <t>ptac -- btuh 7000 heat pump/cool unit -- annual estimated kwh for cooling</t>
  </si>
  <si>
    <t>ptac -- btuh 7000 heat pump/cool unit -- annual estimated kwh for heating</t>
  </si>
  <si>
    <t>ptac -- btuh 9000 heat pump/cool unit -- annual estimated kwh for cooling</t>
  </si>
  <si>
    <t>ptac -- btuh 9000 heat pump/cool unit -- annual estimated kwh for heating</t>
  </si>
  <si>
    <t>ptac -- btuh 12000 heat pump/cool unit -- annual estimated kwh for cooling</t>
  </si>
  <si>
    <t>ptac -- btuh 12000 heat pump/cool unit -- annual estimated kwh for heating</t>
  </si>
  <si>
    <t>ptac -- btuh 15000 heat pump/cool unit -- annual estimated kwh for cooling</t>
  </si>
  <si>
    <t>ptac -- btuh 15000 heat pump/cool unit -- annual estimated kwh for heating</t>
  </si>
  <si>
    <t>vertical fancoil unit (blower fan 200cfm) -- room size less than 250sqft</t>
  </si>
  <si>
    <t>resold kwh per room rented per day</t>
  </si>
  <si>
    <t>resold kWh</t>
  </si>
  <si>
    <t>resold electricity $s</t>
  </si>
  <si>
    <t>Instructions</t>
  </si>
  <si>
    <t>Room Heating &amp; Cooling Appliance</t>
  </si>
  <si>
    <t>your sales tax rate</t>
  </si>
  <si>
    <t>your tax refund</t>
  </si>
  <si>
    <t>room entry light</t>
  </si>
  <si>
    <t>2.  If the bathroom has a vent that is turned on/off by the guest, enter a</t>
  </si>
  <si>
    <t xml:space="preserve">    wattage rating of 88 in cell B10</t>
  </si>
  <si>
    <t>3.  If the bathroom has a heat lamp, enter a wattage rating of 250 in cell B11.</t>
  </si>
  <si>
    <t>4.  If your typical guestroom does not have a coffee maker, microwave, or</t>
  </si>
  <si>
    <t>5.  Is there any appliances in your typical guestroom that are not named</t>
  </si>
  <si>
    <t xml:space="preserve">    417-895-6477, to help add that appliance to your calculation.</t>
  </si>
  <si>
    <t>6.  Determine the type of heating and cooling appliance that is in your</t>
  </si>
  <si>
    <t xml:space="preserve">     typical guestroom.  Do you use a 1) ptac that has a/c and full electric</t>
  </si>
  <si>
    <t xml:space="preserve">    heat; 2) a ptac that has a/c and heatpump; 3) a fan coil unit that has a</t>
  </si>
  <si>
    <t xml:space="preserve">    full electric heat (e.g. centralized a/c, room heat); or 4) a fan coil unit</t>
  </si>
  <si>
    <t>7.  Now go to the worksheet that is included in the file entitled "room hvac</t>
  </si>
  <si>
    <t xml:space="preserve">    various "sizes" in which these hvac appliances are available.  Follow</t>
  </si>
  <si>
    <t xml:space="preserve">    the instructions on the "room hvac options" worksheet to COPY the </t>
  </si>
  <si>
    <t xml:space="preserve">    with no heater (e.g. centralized a/c and heat)?  If you are using an</t>
  </si>
  <si>
    <t xml:space="preserve">    hvac appliance that is not listed in 1) thru 4), contact Jane Gardner</t>
  </si>
  <si>
    <t xml:space="preserve">    for assistance.</t>
  </si>
  <si>
    <t>9.  Go to Column H and enter the number of guest rooms rented for each</t>
  </si>
  <si>
    <t xml:space="preserve">     period listed.  Column I contains a formula that multiplies your total </t>
  </si>
  <si>
    <t>Water Sold in Guest Rooms</t>
  </si>
  <si>
    <t>Resold Gals or CCFs</t>
  </si>
  <si>
    <t>Resold Water $s</t>
  </si>
  <si>
    <t>ie 10min</t>
  </si>
  <si>
    <t>Minutes of Use (A)</t>
  </si>
  <si>
    <t>Flow rate of fixture (B)</t>
  </si>
  <si>
    <t>Minutes of Use (C)</t>
  </si>
  <si>
    <t>(B)  typically ranges from 2 - 5 gallons per minute (gpm)</t>
  </si>
  <si>
    <t>Flow rate of fixture (D)</t>
  </si>
  <si>
    <t>Gallons per Flush (E)</t>
  </si>
  <si>
    <t>(E)  typically ranges from 1.6 - 5 gallons per flush (gpf))</t>
  </si>
  <si>
    <t>(D)  typically ranges from 1.5 - 6 gallons per minute (gpm)</t>
  </si>
  <si>
    <t xml:space="preserve">    flow fixtures.  These low flow rates have already been posted </t>
  </si>
  <si>
    <t>1.  If your hotel was built after 1994, your guestroom should have low</t>
  </si>
  <si>
    <t xml:space="preserve">    your usage in GALLONS of CCFs.  The refund worksheet presumes</t>
  </si>
  <si>
    <t xml:space="preserve">    that your water utility bills your usage in CCFs.  If not and water is</t>
  </si>
  <si>
    <t xml:space="preserve">    billed in GALLONs, change the formula in column K to read "$F$13"</t>
  </si>
  <si>
    <t xml:space="preserve">    instead of "$F$15".  </t>
  </si>
  <si>
    <t xml:space="preserve">    (do NOT include sewer charges) by the ccfs (or gallons) purchased.  </t>
  </si>
  <si>
    <t>2. If your typical guestroom has a whirlpool or jacuzzi, please contact</t>
  </si>
  <si>
    <t xml:space="preserve">    this appliance.</t>
  </si>
  <si>
    <t xml:space="preserve">   month, you may replace the heading in Column J with "# of Guests"</t>
  </si>
  <si>
    <t xml:space="preserve">   and provide that information per period.  If not, the water refund</t>
  </si>
  <si>
    <t xml:space="preserve">   schedule brings over the number of Guest Rooms Rented that was</t>
  </si>
  <si>
    <t xml:space="preserve">    converts the resold gallons per guest per day to CCFs per guest per day.</t>
  </si>
  <si>
    <t>gallons divided by 748 = resold ccfs per guest per day</t>
  </si>
  <si>
    <t>Total Resold Gallons of Water per Guest per day</t>
  </si>
  <si>
    <t xml:space="preserve">   entered on the "resold electricity calculation" worksheet and we will</t>
  </si>
  <si>
    <t xml:space="preserve">   use the number of guest rooms rented as the number of guests.</t>
  </si>
  <si>
    <t xml:space="preserve">    in column J.</t>
  </si>
  <si>
    <t xml:space="preserve">    Filling in this column will calculate your sales tax refund on your resold</t>
  </si>
  <si>
    <t xml:space="preserve">    electricity.</t>
  </si>
  <si>
    <t>12. PROVIDE copies of electric bills for each month of the refund claim period</t>
  </si>
  <si>
    <t xml:space="preserve">     unless the utility is able to provide this information for you. </t>
  </si>
  <si>
    <t>4. Resold water usage is per GUEST.  If you have the number of Guests per</t>
  </si>
  <si>
    <t>5. Examine your water bills to determine if your water utility bills</t>
  </si>
  <si>
    <t xml:space="preserve">    tax refund schedule on your resold water.</t>
  </si>
  <si>
    <t xml:space="preserve">    unless the utility is able to provide this information for you. </t>
  </si>
  <si>
    <t>kWh consumed per year</t>
  </si>
  <si>
    <t>Instructions:</t>
  </si>
  <si>
    <t>1.  Fill in your Hotel's business name in Cell B2</t>
  </si>
  <si>
    <t>2.  Fill in your Hotel's retail sales tax number (8 digit number beginning with "1") in B4</t>
  </si>
  <si>
    <t>3.  Fill in your Hotel's business address in B6</t>
  </si>
  <si>
    <t>4.  Fill in your Hotel's electricity supplier in B8</t>
  </si>
  <si>
    <t>5.  Fill in your Hotel's water supplier in B10</t>
  </si>
  <si>
    <t>6.  Fill in your Hotel's # of guest rooms in B12</t>
  </si>
  <si>
    <t>Retail sales tax number:</t>
  </si>
  <si>
    <t>Hotel Name:</t>
  </si>
  <si>
    <t>Hotel location address:</t>
  </si>
  <si>
    <t>Electricity supplier:</t>
  </si>
  <si>
    <t>Water supplier:</t>
  </si>
  <si>
    <t># of guestrooms:</t>
  </si>
  <si>
    <t xml:space="preserve">     the Mo Dept of Revenue at 417-895-6477 or at Jane.Gardner@dor.mo.gov  for the file "Hotel resold electricity &amp; water worksheets--little or no winter operations"</t>
  </si>
  <si>
    <t>Are you open all year round (Yes or No)?</t>
  </si>
  <si>
    <t>If your guestroom has a ptac with a/c and electric heater (NO heat pump) -- choose the "box" directly below with</t>
  </si>
  <si>
    <t xml:space="preserve">OPTION #2: </t>
  </si>
  <si>
    <t xml:space="preserve">OPTION #1: </t>
  </si>
  <si>
    <t>If your guestroom has a ptac with a/c and electric heater w/ heat pump -- choose the "box" directly below with</t>
  </si>
  <si>
    <t xml:space="preserve">OPTION #3: </t>
  </si>
  <si>
    <t xml:space="preserve">OPTION #4: </t>
  </si>
  <si>
    <t>If your guestroom has a fan coil unit with an electric heater, first find correct "style" (vertical, low vertical, horizontal, or horizontal w/high static motor) --</t>
  </si>
  <si>
    <t xml:space="preserve">  each style has a different color.  THEN find the correct blower fan size (by cfm) of the unit.  Then copy the WHOLE box (both lines in the box and </t>
  </si>
  <si>
    <t>the size of unit that is in your typical guest room and copy the WHOLE box (both lines in the box and from B thru F) and paste it on worksheet "resold</t>
  </si>
  <si>
    <t>units, some may have 9,000 btuh units.</t>
  </si>
  <si>
    <t>electricity calculation" in cell A17.  hint:  it is very unlikely that MO has any hotels with 12,000 or 15,000 btuh units; most rooms should have 7,000 btuh</t>
  </si>
  <si>
    <t>If your guestroom has a fan coil unit with fans only (centralized heat and cooling), first find correct "style" (vertical, low vertical, horizontal, or horizontal</t>
  </si>
  <si>
    <t>w/ high static motor) -- each style has a different color.  THEN find the correct blower fan size (by cfm) of the unit.  Then copy the WHOLE box (both</t>
  </si>
  <si>
    <t>lines in the box and from B thru F) and paste it on worksheet "resold electricity calculation" in cell A17.</t>
  </si>
  <si>
    <t>Room HVAC Options</t>
  </si>
  <si>
    <t xml:space="preserve">    iron, delete the wattage ratings in the applicable cell -- B12 thru B15.</t>
  </si>
  <si>
    <t>7. PROVIDE copies of water bills for each month of the refund claim period</t>
  </si>
  <si>
    <t>units; some may have 9,000 btuh units.</t>
  </si>
  <si>
    <t xml:space="preserve">  from B thru F) and paste it on worksheet "resold electricity calculation" in cell A17.</t>
  </si>
  <si>
    <t>1.  If your conference rooms do not have their own hvac appliances, delete the 3 watts in cell B4.</t>
  </si>
  <si>
    <t>2.  Determine your average conference room sq footage.  For example, if you have 3 conference</t>
  </si>
  <si>
    <t xml:space="preserve">     rooms, one is 1,000 sq ft and one is 750 sq ft and one is 600 sq ft, your average conference</t>
  </si>
  <si>
    <t xml:space="preserve">     Completing this cell will give you the average resold kWh per rented conference room</t>
  </si>
  <si>
    <t xml:space="preserve">     room's sq footage is 783.  Enter your average conference room sq footage in cell B8. </t>
  </si>
  <si>
    <t>Conference Rooms Rented</t>
  </si>
  <si>
    <t>room rented an average of 4 hours per day)</t>
  </si>
  <si>
    <t>kwh per rented conference room (presumes avg conference</t>
  </si>
  <si>
    <t>average sq ft per conference room</t>
  </si>
  <si>
    <t>3.  Fill in the number of conference rooms rented each month in column K.  Completing</t>
  </si>
  <si>
    <t xml:space="preserve">     this column will compute your resold electricity for the conference rooms, as follows:</t>
  </si>
  <si>
    <t xml:space="preserve">     column L contains a formula that multiplies the number of conference rooms rented by the</t>
  </si>
  <si>
    <t xml:space="preserve">     rate that you've already entered on "resold electricity calculation" worksheet; and Column O</t>
  </si>
  <si>
    <t xml:space="preserve">     calculates the tax refund on the resold electricity $s in Column M.</t>
  </si>
  <si>
    <r>
      <t xml:space="preserve">8.  </t>
    </r>
    <r>
      <rPr>
        <b/>
        <sz val="10"/>
        <rFont val="Arial"/>
        <family val="2"/>
      </rPr>
      <t>GO TO</t>
    </r>
    <r>
      <rPr>
        <sz val="10"/>
        <rFont val="Arial"/>
        <family val="0"/>
      </rPr>
      <t xml:space="preserve"> worksheet tab "resold electricity calculation" -- Instructions</t>
    </r>
  </si>
  <si>
    <r>
      <t xml:space="preserve">13. </t>
    </r>
    <r>
      <rPr>
        <b/>
        <sz val="10"/>
        <rFont val="Arial"/>
        <family val="2"/>
      </rPr>
      <t>GO TO</t>
    </r>
    <r>
      <rPr>
        <sz val="10"/>
        <rFont val="Arial"/>
        <family val="0"/>
      </rPr>
      <t xml:space="preserve"> worksheet tab "resold water calculation" -- Instructions section</t>
    </r>
  </si>
  <si>
    <r>
      <t xml:space="preserve">8.  </t>
    </r>
    <r>
      <rPr>
        <b/>
        <sz val="10"/>
        <rFont val="Arial"/>
        <family val="2"/>
      </rPr>
      <t>GO TO</t>
    </r>
    <r>
      <rPr>
        <sz val="10"/>
        <rFont val="Arial"/>
        <family val="0"/>
      </rPr>
      <t xml:space="preserve"> worksheet tab "conference room calc" if you have conference</t>
    </r>
  </si>
  <si>
    <t xml:space="preserve">     rooms.  If you do not, you are done.</t>
  </si>
  <si>
    <t>4.  You are done.</t>
  </si>
  <si>
    <t xml:space="preserve">    options".  You will find all the above options on this worksheet, as well as the</t>
  </si>
  <si>
    <t xml:space="preserve">   correct hvac appliance and enter in cells A17 &amp; A18 above.</t>
  </si>
  <si>
    <t>(A)  4 times @ 15 seconds -- from EPA hotel water usage study</t>
  </si>
  <si>
    <t># of Uses (C)</t>
  </si>
  <si>
    <t xml:space="preserve">    above in cells D3, D6, and D9.  If your hotel was built before</t>
  </si>
  <si>
    <t xml:space="preserve">   1994, enter your fixture flow rates in cells D3, D6, and D9.</t>
  </si>
  <si>
    <t xml:space="preserve">    above?  If so, contact Jane Gardner, Mo Dept of Revenue, at </t>
  </si>
  <si>
    <t>your cost per kWh (1999)</t>
  </si>
  <si>
    <t>your cost per kWh (2000)</t>
  </si>
  <si>
    <t>your cost per kWh (2001)</t>
  </si>
  <si>
    <t>your cost per kWh (2002)</t>
  </si>
  <si>
    <t>your cost per kWh (2003)</t>
  </si>
  <si>
    <t>your cost per kWh (2004)</t>
  </si>
  <si>
    <t>your cost per kWh (2005)</t>
  </si>
  <si>
    <t xml:space="preserve">    per kWh will likely range from $.04 to $.07.  Filling in these cells will calculate your resold electricity $s</t>
  </si>
  <si>
    <t>11. Go to column K and fill in your hotel's sales tax rate for each period.  Fill in as a decimal (.07225, for example)</t>
  </si>
  <si>
    <t>1.  Fill in the lamp wattage for each of the lamps listed above on lines 4 thru 9</t>
  </si>
  <si>
    <t xml:space="preserve">    if the lamp is applicable to your typical guestroom in cells B4 -B9.  If you are using</t>
  </si>
  <si>
    <t xml:space="preserve">    compact fluorescent lighting--a 32watt CFL is the equivalent of a 100watt incandescent.</t>
  </si>
  <si>
    <t xml:space="preserve">8.  Your total kWh per room rented is in cell E20.  </t>
  </si>
  <si>
    <t xml:space="preserve">     kWh per room rented times your number of guest rooms rented.  </t>
  </si>
  <si>
    <t xml:space="preserve">    by the kWh purchased.  Enter this cost per kWh in cell E22 through E28 -- the cost</t>
  </si>
  <si>
    <t xml:space="preserve">     resold kWh per rented conference room in cell B12; Column M contains a formula that</t>
  </si>
  <si>
    <t xml:space="preserve">     multiplies the resold kWh in column L times the cost per kWh (which you entered on </t>
  </si>
  <si>
    <t xml:space="preserve">     worksheet "resold electricity calculation" in cell E22-28; Column N brings over your sales tax</t>
  </si>
  <si>
    <t xml:space="preserve">       or 9 minutes total &amp; flushes 3 times -- from EPA hotel</t>
  </si>
  <si>
    <t xml:space="preserve">       water usage study</t>
  </si>
  <si>
    <t>(C)  each person takes 1.2 showers per day for 8 minutes each</t>
  </si>
  <si>
    <t>your cost per ccf/gallon (1999)</t>
  </si>
  <si>
    <t>your cost per ccf/gallon (2000)</t>
  </si>
  <si>
    <t>your cost per ccf/gallon (2001)</t>
  </si>
  <si>
    <t>your cost per ccf/gallon (2002)</t>
  </si>
  <si>
    <t>your cost per ccf/gallon (2003)</t>
  </si>
  <si>
    <t>your cost per ccf/gallon (2004)</t>
  </si>
  <si>
    <t>your cost per ccf/gallon (2005)</t>
  </si>
  <si>
    <t xml:space="preserve">    Jane Gardner at the MO Dept of Revenue at 417-895-6477 to add</t>
  </si>
  <si>
    <r>
      <t xml:space="preserve">3. Cell F13 shows your total resold gallons </t>
    </r>
    <r>
      <rPr>
        <b/>
        <sz val="10"/>
        <rFont val="Arial"/>
        <family val="2"/>
      </rPr>
      <t>per guest</t>
    </r>
    <r>
      <rPr>
        <sz val="10"/>
        <rFont val="Arial"/>
        <family val="0"/>
      </rPr>
      <t xml:space="preserve"> per day; Cell F15</t>
    </r>
  </si>
  <si>
    <t>10. Determine your average cost per kWh per calendar year -- take a couple of electric</t>
  </si>
  <si>
    <t xml:space="preserve">    bills from each calendar year, divide the electricity charges </t>
  </si>
  <si>
    <t xml:space="preserve">6. Determine your average cost per ccf (or gallon) per calendar year -- take a couple of </t>
  </si>
  <si>
    <t xml:space="preserve">    water bills in each calendar year, divide the water usage charge </t>
  </si>
  <si>
    <t xml:space="preserve">    Enter this cost in cells F17 - F23.   Filling in these cells will complete your</t>
  </si>
  <si>
    <t>SEASONAL HOTEL (CLOSED JANUARY AND FEBRUARY)</t>
  </si>
  <si>
    <t>Gr Total</t>
  </si>
  <si>
    <t>Guest Rooms</t>
  </si>
  <si>
    <t>Total Gross Tax Refund</t>
  </si>
  <si>
    <t>your cost per kWh (2006)</t>
  </si>
  <si>
    <t>your cost per ccf/gallon (2006)</t>
  </si>
  <si>
    <r>
      <t xml:space="preserve">7.  Answer the question "yes" or "no" in B14.  If you answered "No" do </t>
    </r>
    <r>
      <rPr>
        <sz val="10"/>
        <rFont val="Arial"/>
        <family val="2"/>
      </rPr>
      <t>not</t>
    </r>
    <r>
      <rPr>
        <sz val="10"/>
        <rFont val="Arial"/>
        <family val="0"/>
      </rPr>
      <t xml:space="preserve"> use this file to calculate your refund.  Contact Jane Gardner at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</si>
</sst>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_(* #,##0.0000000000_);_(* \(#,##0.0000000000\);_(* &quot;-&quot;??_);_(@_)"/>
    <numFmt numFmtId="175" formatCode="0.0%"/>
    <numFmt numFmtId="176" formatCode="0.00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4" borderId="2" xfId="15" applyNumberFormat="1" applyFill="1" applyBorder="1" applyAlignment="1">
      <alignment/>
    </xf>
    <xf numFmtId="165" fontId="0" fillId="0" borderId="3" xfId="15" applyNumberFormat="1" applyBorder="1" applyAlignment="1">
      <alignment/>
    </xf>
    <xf numFmtId="165" fontId="0" fillId="4" borderId="4" xfId="15" applyNumberFormat="1" applyFill="1" applyBorder="1" applyAlignment="1">
      <alignment/>
    </xf>
    <xf numFmtId="0" fontId="0" fillId="0" borderId="1" xfId="0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4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6" borderId="5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0" xfId="15" applyFill="1" applyBorder="1" applyAlignment="1">
      <alignment/>
    </xf>
    <xf numFmtId="165" fontId="0" fillId="0" borderId="0" xfId="15" applyNumberFormat="1" applyFill="1" applyBorder="1" applyAlignment="1">
      <alignment/>
    </xf>
    <xf numFmtId="0" fontId="1" fillId="0" borderId="0" xfId="0" applyFont="1" applyAlignment="1">
      <alignment horizontal="right"/>
    </xf>
    <xf numFmtId="7" fontId="0" fillId="0" borderId="0" xfId="15" applyNumberFormat="1" applyAlignment="1">
      <alignment/>
    </xf>
    <xf numFmtId="7" fontId="0" fillId="0" borderId="3" xfId="15" applyNumberFormat="1" applyBorder="1" applyAlignment="1">
      <alignment/>
    </xf>
    <xf numFmtId="164" fontId="0" fillId="7" borderId="2" xfId="0" applyNumberFormat="1" applyFill="1" applyBorder="1" applyAlignment="1">
      <alignment/>
    </xf>
    <xf numFmtId="7" fontId="0" fillId="7" borderId="2" xfId="0" applyNumberForma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Fill="1" applyAlignment="1">
      <alignment horizontal="left"/>
    </xf>
    <xf numFmtId="0" fontId="1" fillId="8" borderId="12" xfId="0" applyFont="1" applyFill="1" applyBorder="1" applyAlignment="1">
      <alignment/>
    </xf>
    <xf numFmtId="0" fontId="0" fillId="8" borderId="1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>
      <alignment/>
    </xf>
    <xf numFmtId="0" fontId="1" fillId="8" borderId="2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8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1" fillId="5" borderId="7" xfId="0" applyFont="1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9" borderId="0" xfId="0" applyFill="1" applyAlignment="1">
      <alignment horizontal="center"/>
    </xf>
    <xf numFmtId="0" fontId="4" fillId="8" borderId="2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165" fontId="0" fillId="4" borderId="14" xfId="15" applyNumberFormat="1" applyFill="1" applyBorder="1" applyAlignment="1">
      <alignment/>
    </xf>
    <xf numFmtId="7" fontId="0" fillId="0" borderId="2" xfId="15" applyNumberForma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10" borderId="5" xfId="0" applyFill="1" applyBorder="1" applyAlignment="1">
      <alignment/>
    </xf>
    <xf numFmtId="0" fontId="0" fillId="11" borderId="5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8" borderId="0" xfId="0" applyFont="1" applyFill="1" applyAlignment="1">
      <alignment/>
    </xf>
    <xf numFmtId="0" fontId="0" fillId="0" borderId="2" xfId="0" applyBorder="1" applyAlignment="1">
      <alignment/>
    </xf>
    <xf numFmtId="7" fontId="0" fillId="0" borderId="2" xfId="0" applyNumberFormat="1" applyBorder="1" applyAlignment="1">
      <alignment wrapText="1"/>
    </xf>
    <xf numFmtId="7" fontId="0" fillId="0" borderId="0" xfId="0" applyNumberFormat="1" applyAlignment="1">
      <alignment/>
    </xf>
    <xf numFmtId="7" fontId="0" fillId="0" borderId="3" xfId="0" applyNumberFormat="1" applyBorder="1" applyAlignment="1">
      <alignment/>
    </xf>
    <xf numFmtId="165" fontId="0" fillId="0" borderId="2" xfId="15" applyNumberFormat="1" applyBorder="1" applyAlignment="1">
      <alignment wrapText="1"/>
    </xf>
    <xf numFmtId="170" fontId="0" fillId="0" borderId="3" xfId="15" applyNumberFormat="1" applyFill="1" applyBorder="1" applyAlignment="1">
      <alignment horizontal="center"/>
    </xf>
    <xf numFmtId="176" fontId="0" fillId="10" borderId="2" xfId="21" applyNumberFormat="1" applyFill="1" applyBorder="1" applyAlignment="1">
      <alignment wrapText="1"/>
    </xf>
    <xf numFmtId="176" fontId="0" fillId="0" borderId="0" xfId="21" applyNumberFormat="1" applyAlignment="1">
      <alignment/>
    </xf>
    <xf numFmtId="176" fontId="0" fillId="0" borderId="2" xfId="21" applyNumberFormat="1" applyBorder="1" applyAlignment="1">
      <alignment wrapText="1"/>
    </xf>
    <xf numFmtId="0" fontId="0" fillId="8" borderId="0" xfId="0" applyFill="1" applyAlignment="1">
      <alignment/>
    </xf>
    <xf numFmtId="43" fontId="0" fillId="8" borderId="0" xfId="15" applyFill="1" applyAlignment="1">
      <alignment/>
    </xf>
    <xf numFmtId="0" fontId="0" fillId="0" borderId="0" xfId="0" applyAlignment="1">
      <alignment horizontal="center" wrapText="1"/>
    </xf>
    <xf numFmtId="165" fontId="0" fillId="0" borderId="15" xfId="15" applyNumberFormat="1" applyBorder="1" applyAlignment="1">
      <alignment/>
    </xf>
    <xf numFmtId="7" fontId="0" fillId="0" borderId="15" xfId="15" applyNumberFormat="1" applyBorder="1" applyAlignment="1">
      <alignment/>
    </xf>
    <xf numFmtId="7" fontId="0" fillId="0" borderId="0" xfId="0" applyNumberFormat="1" applyAlignment="1">
      <alignment horizontal="right"/>
    </xf>
    <xf numFmtId="7" fontId="0" fillId="0" borderId="3" xfId="0" applyNumberFormat="1" applyBorder="1" applyAlignment="1">
      <alignment horizontal="right"/>
    </xf>
    <xf numFmtId="7" fontId="0" fillId="0" borderId="15" xfId="0" applyNumberFormat="1" applyBorder="1" applyAlignment="1">
      <alignment horizontal="right"/>
    </xf>
    <xf numFmtId="7" fontId="0" fillId="0" borderId="15" xfId="0" applyNumberFormat="1" applyBorder="1" applyAlignment="1">
      <alignment/>
    </xf>
    <xf numFmtId="165" fontId="0" fillId="0" borderId="0" xfId="15" applyNumberFormat="1" applyBorder="1" applyAlignment="1">
      <alignment/>
    </xf>
    <xf numFmtId="7" fontId="0" fillId="0" borderId="0" xfId="15" applyNumberFormat="1" applyBorder="1" applyAlignment="1">
      <alignment/>
    </xf>
    <xf numFmtId="0" fontId="0" fillId="4" borderId="2" xfId="0" applyFill="1" applyBorder="1" applyAlignment="1">
      <alignment/>
    </xf>
    <xf numFmtId="165" fontId="0" fillId="0" borderId="3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Border="1" applyAlignment="1">
      <alignment horizontal="right"/>
    </xf>
    <xf numFmtId="165" fontId="0" fillId="0" borderId="0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6.421875" style="0" customWidth="1"/>
    <col min="2" max="2" width="34.421875" style="0" customWidth="1"/>
  </cols>
  <sheetData>
    <row r="2" spans="1:2" ht="12.75">
      <c r="A2" s="10" t="s">
        <v>142</v>
      </c>
      <c r="B2" s="12"/>
    </row>
    <row r="3" ht="12.75">
      <c r="A3" s="10"/>
    </row>
    <row r="4" spans="1:2" ht="12.75">
      <c r="A4" s="10" t="s">
        <v>141</v>
      </c>
      <c r="B4" s="12"/>
    </row>
    <row r="5" ht="12.75">
      <c r="A5" s="10"/>
    </row>
    <row r="6" spans="1:2" ht="12.75">
      <c r="A6" s="10" t="s">
        <v>143</v>
      </c>
      <c r="B6" s="12"/>
    </row>
    <row r="7" ht="12.75">
      <c r="A7" s="10"/>
    </row>
    <row r="8" spans="1:2" ht="12.75">
      <c r="A8" s="10" t="s">
        <v>144</v>
      </c>
      <c r="B8" s="12"/>
    </row>
    <row r="9" ht="12.75">
      <c r="A9" s="10"/>
    </row>
    <row r="10" spans="1:2" ht="12.75">
      <c r="A10" s="10" t="s">
        <v>145</v>
      </c>
      <c r="B10" s="12"/>
    </row>
    <row r="11" ht="12.75">
      <c r="A11" s="10"/>
    </row>
    <row r="12" spans="1:2" ht="12.75">
      <c r="A12" s="10" t="s">
        <v>146</v>
      </c>
      <c r="B12" s="12"/>
    </row>
    <row r="13" ht="12.75">
      <c r="A13" s="10"/>
    </row>
    <row r="14" spans="1:2" ht="12.75">
      <c r="A14" s="10" t="s">
        <v>148</v>
      </c>
      <c r="B14" s="12"/>
    </row>
    <row r="17" ht="15.75">
      <c r="A17" s="65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235</v>
      </c>
    </row>
    <row r="25" ht="12.75">
      <c r="A25" t="s">
        <v>147</v>
      </c>
    </row>
    <row r="26" ht="12.75">
      <c r="A26" t="s">
        <v>182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pane xSplit="5" ySplit="29" topLeftCell="F30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A29" sqref="A29"/>
    </sheetView>
  </sheetViews>
  <sheetFormatPr defaultColWidth="9.140625" defaultRowHeight="12.75"/>
  <cols>
    <col min="1" max="1" width="60.8515625" style="0" customWidth="1"/>
    <col min="2" max="2" width="9.140625" style="1" customWidth="1"/>
    <col min="3" max="3" width="10.00390625" style="1" customWidth="1"/>
    <col min="4" max="4" width="8.00390625" style="1" customWidth="1"/>
    <col min="6" max="6" width="5.7109375" style="0" customWidth="1"/>
    <col min="7" max="7" width="8.57421875" style="0" customWidth="1"/>
    <col min="9" max="9" width="11.8515625" style="15" customWidth="1"/>
    <col min="10" max="10" width="10.140625" style="45" customWidth="1"/>
    <col min="11" max="11" width="9.140625" style="81" customWidth="1"/>
    <col min="12" max="12" width="9.140625" style="45" customWidth="1"/>
  </cols>
  <sheetData>
    <row r="1" spans="1:12" ht="38.25">
      <c r="A1" s="55" t="s">
        <v>42</v>
      </c>
      <c r="B1" s="4" t="s">
        <v>7</v>
      </c>
      <c r="C1" s="56" t="s">
        <v>8</v>
      </c>
      <c r="D1" s="4"/>
      <c r="E1" s="5" t="s">
        <v>9</v>
      </c>
      <c r="F1" s="13"/>
      <c r="G1" s="49" t="s">
        <v>34</v>
      </c>
      <c r="H1" s="49" t="s">
        <v>41</v>
      </c>
      <c r="I1" s="78" t="s">
        <v>70</v>
      </c>
      <c r="J1" s="68" t="s">
        <v>71</v>
      </c>
      <c r="K1" s="80" t="s">
        <v>74</v>
      </c>
      <c r="L1" s="68" t="s">
        <v>75</v>
      </c>
    </row>
    <row r="2" spans="1:12" ht="12.75">
      <c r="A2" t="s">
        <v>10</v>
      </c>
      <c r="B2" s="6">
        <v>200</v>
      </c>
      <c r="C2" s="1">
        <v>4</v>
      </c>
      <c r="E2" s="39">
        <f aca="true" t="shared" si="0" ref="E2:E8">ROUND(B2*C2/1000,2)</f>
        <v>0.8</v>
      </c>
      <c r="G2">
        <v>199901</v>
      </c>
      <c r="H2" s="67"/>
      <c r="I2" s="15">
        <f>ROUND(H2*$E$20,0)</f>
        <v>0</v>
      </c>
      <c r="J2" s="45">
        <f>ROUND(I2*$E$22,2)</f>
        <v>0</v>
      </c>
      <c r="L2" s="45">
        <f>ROUND(J2*K2,2)</f>
        <v>0</v>
      </c>
    </row>
    <row r="3" spans="1:12" ht="12.75">
      <c r="A3" t="s">
        <v>0</v>
      </c>
      <c r="B3" s="6">
        <v>5</v>
      </c>
      <c r="C3" s="1">
        <v>24</v>
      </c>
      <c r="E3" s="39">
        <f t="shared" si="0"/>
        <v>0.12</v>
      </c>
      <c r="G3">
        <v>199902</v>
      </c>
      <c r="H3" s="17"/>
      <c r="I3" s="15">
        <f aca="true" t="shared" si="1" ref="I3:I13">ROUND(H3*$E$20,0)</f>
        <v>0</v>
      </c>
      <c r="J3" s="45">
        <f aca="true" t="shared" si="2" ref="J3:J13">ROUND(I3*$E$22,2)</f>
        <v>0</v>
      </c>
      <c r="L3" s="45">
        <f aca="true" t="shared" si="3" ref="L3:L13">ROUND(J3*K3,2)</f>
        <v>0</v>
      </c>
    </row>
    <row r="4" spans="1:12" ht="12.75">
      <c r="A4" t="s">
        <v>12</v>
      </c>
      <c r="B4" s="64"/>
      <c r="C4" s="1">
        <v>4.5</v>
      </c>
      <c r="E4" s="39">
        <f t="shared" si="0"/>
        <v>0</v>
      </c>
      <c r="G4">
        <v>199903</v>
      </c>
      <c r="H4" s="17"/>
      <c r="I4" s="15">
        <f t="shared" si="1"/>
        <v>0</v>
      </c>
      <c r="J4" s="45">
        <f t="shared" si="2"/>
        <v>0</v>
      </c>
      <c r="L4" s="45">
        <f t="shared" si="3"/>
        <v>0</v>
      </c>
    </row>
    <row r="5" spans="1:12" ht="12.75">
      <c r="A5" t="s">
        <v>12</v>
      </c>
      <c r="B5" s="64"/>
      <c r="C5" s="1">
        <v>4.5</v>
      </c>
      <c r="E5" s="39">
        <f t="shared" si="0"/>
        <v>0</v>
      </c>
      <c r="G5">
        <v>199904</v>
      </c>
      <c r="H5" s="17"/>
      <c r="I5" s="15">
        <f t="shared" si="1"/>
        <v>0</v>
      </c>
      <c r="J5" s="45">
        <f t="shared" si="2"/>
        <v>0</v>
      </c>
      <c r="L5" s="45">
        <f t="shared" si="3"/>
        <v>0</v>
      </c>
    </row>
    <row r="6" spans="1:12" ht="12.75">
      <c r="A6" t="s">
        <v>13</v>
      </c>
      <c r="B6" s="64"/>
      <c r="C6" s="1">
        <v>3</v>
      </c>
      <c r="E6" s="39">
        <f t="shared" si="0"/>
        <v>0</v>
      </c>
      <c r="G6">
        <v>199905</v>
      </c>
      <c r="H6" s="17"/>
      <c r="I6" s="15">
        <f t="shared" si="1"/>
        <v>0</v>
      </c>
      <c r="J6" s="45">
        <f t="shared" si="2"/>
        <v>0</v>
      </c>
      <c r="L6" s="45">
        <f t="shared" si="3"/>
        <v>0</v>
      </c>
    </row>
    <row r="7" spans="1:12" ht="12.75">
      <c r="A7" t="s">
        <v>14</v>
      </c>
      <c r="B7" s="64"/>
      <c r="C7" s="1">
        <v>2</v>
      </c>
      <c r="E7" s="39">
        <f t="shared" si="0"/>
        <v>0</v>
      </c>
      <c r="G7">
        <v>199906</v>
      </c>
      <c r="H7" s="17"/>
      <c r="I7" s="15">
        <f t="shared" si="1"/>
        <v>0</v>
      </c>
      <c r="J7" s="45">
        <f t="shared" si="2"/>
        <v>0</v>
      </c>
      <c r="L7" s="45">
        <f t="shared" si="3"/>
        <v>0</v>
      </c>
    </row>
    <row r="8" spans="1:12" ht="12.75">
      <c r="A8" t="s">
        <v>76</v>
      </c>
      <c r="B8" s="64"/>
      <c r="C8" s="1">
        <v>0.5</v>
      </c>
      <c r="E8" s="39">
        <f t="shared" si="0"/>
        <v>0</v>
      </c>
      <c r="G8">
        <v>199907</v>
      </c>
      <c r="H8" s="17"/>
      <c r="I8" s="15">
        <f t="shared" si="1"/>
        <v>0</v>
      </c>
      <c r="J8" s="45">
        <f t="shared" si="2"/>
        <v>0</v>
      </c>
      <c r="L8" s="45">
        <f t="shared" si="3"/>
        <v>0</v>
      </c>
    </row>
    <row r="9" spans="1:12" ht="12.75">
      <c r="A9" t="s">
        <v>2</v>
      </c>
      <c r="B9" s="64"/>
      <c r="C9" s="1">
        <v>8</v>
      </c>
      <c r="E9" s="39">
        <f>ROUND(B9*C9/1000,2)</f>
        <v>0</v>
      </c>
      <c r="G9">
        <v>199908</v>
      </c>
      <c r="H9" s="17"/>
      <c r="I9" s="15">
        <f t="shared" si="1"/>
        <v>0</v>
      </c>
      <c r="J9" s="45">
        <f t="shared" si="2"/>
        <v>0</v>
      </c>
      <c r="L9" s="45">
        <f t="shared" si="3"/>
        <v>0</v>
      </c>
    </row>
    <row r="10" spans="1:12" ht="12.75">
      <c r="A10" t="s">
        <v>1</v>
      </c>
      <c r="B10" s="3"/>
      <c r="C10" s="1">
        <v>1</v>
      </c>
      <c r="E10" s="39">
        <f aca="true" t="shared" si="4" ref="E10:E15">ROUND(B10*C10/1000,2)</f>
        <v>0</v>
      </c>
      <c r="G10">
        <v>199909</v>
      </c>
      <c r="H10" s="17"/>
      <c r="I10" s="15">
        <f t="shared" si="1"/>
        <v>0</v>
      </c>
      <c r="J10" s="45">
        <f t="shared" si="2"/>
        <v>0</v>
      </c>
      <c r="L10" s="45">
        <f t="shared" si="3"/>
        <v>0</v>
      </c>
    </row>
    <row r="11" spans="1:12" ht="12.75">
      <c r="A11" t="s">
        <v>11</v>
      </c>
      <c r="B11" s="3"/>
      <c r="C11" s="1">
        <v>1</v>
      </c>
      <c r="E11" s="39">
        <f t="shared" si="4"/>
        <v>0</v>
      </c>
      <c r="G11">
        <v>199910</v>
      </c>
      <c r="H11" s="17"/>
      <c r="I11" s="15">
        <f t="shared" si="1"/>
        <v>0</v>
      </c>
      <c r="J11" s="45">
        <f t="shared" si="2"/>
        <v>0</v>
      </c>
      <c r="L11" s="45">
        <f t="shared" si="3"/>
        <v>0</v>
      </c>
    </row>
    <row r="12" spans="1:12" ht="12.75">
      <c r="A12" t="s">
        <v>3</v>
      </c>
      <c r="B12" s="6">
        <v>1000</v>
      </c>
      <c r="C12" s="1">
        <v>0.167</v>
      </c>
      <c r="D12" s="1" t="s">
        <v>98</v>
      </c>
      <c r="E12" s="39">
        <f t="shared" si="4"/>
        <v>0.17</v>
      </c>
      <c r="G12">
        <v>199911</v>
      </c>
      <c r="H12" s="17"/>
      <c r="I12" s="15">
        <f t="shared" si="1"/>
        <v>0</v>
      </c>
      <c r="J12" s="45">
        <f t="shared" si="2"/>
        <v>0</v>
      </c>
      <c r="L12" s="45">
        <f t="shared" si="3"/>
        <v>0</v>
      </c>
    </row>
    <row r="13" spans="1:12" ht="12.75">
      <c r="A13" t="s">
        <v>4</v>
      </c>
      <c r="B13" s="6">
        <v>900</v>
      </c>
      <c r="C13" s="1">
        <v>0.167</v>
      </c>
      <c r="D13" s="1" t="s">
        <v>98</v>
      </c>
      <c r="E13" s="39">
        <f t="shared" si="4"/>
        <v>0.15</v>
      </c>
      <c r="G13">
        <v>199912</v>
      </c>
      <c r="H13" s="19"/>
      <c r="I13" s="15">
        <f t="shared" si="1"/>
        <v>0</v>
      </c>
      <c r="J13" s="45">
        <f t="shared" si="2"/>
        <v>0</v>
      </c>
      <c r="L13" s="45">
        <f t="shared" si="3"/>
        <v>0</v>
      </c>
    </row>
    <row r="14" spans="1:12" ht="12.75">
      <c r="A14" t="s">
        <v>5</v>
      </c>
      <c r="B14" s="6">
        <v>1000</v>
      </c>
      <c r="C14" s="1">
        <v>0.167</v>
      </c>
      <c r="D14" s="1" t="s">
        <v>98</v>
      </c>
      <c r="E14" s="39">
        <f t="shared" si="4"/>
        <v>0.17</v>
      </c>
      <c r="G14" t="s">
        <v>35</v>
      </c>
      <c r="H14" s="18">
        <f>SUM(H2:H13)</f>
        <v>0</v>
      </c>
      <c r="I14" s="18">
        <f>SUM(I2:I13)</f>
        <v>0</v>
      </c>
      <c r="J14" s="46">
        <f>SUM(J2:J13)</f>
        <v>0</v>
      </c>
      <c r="L14" s="46">
        <f>SUM(L2:L13)</f>
        <v>0</v>
      </c>
    </row>
    <row r="15" spans="1:5" ht="12.75">
      <c r="A15" t="s">
        <v>6</v>
      </c>
      <c r="B15" s="6">
        <v>1000</v>
      </c>
      <c r="C15" s="1">
        <v>0.167</v>
      </c>
      <c r="D15" s="1" t="s">
        <v>98</v>
      </c>
      <c r="E15" s="39">
        <f t="shared" si="4"/>
        <v>0.17</v>
      </c>
    </row>
    <row r="16" spans="1:12" ht="13.5" thickBot="1">
      <c r="A16" s="57" t="s">
        <v>73</v>
      </c>
      <c r="E16" s="14"/>
      <c r="G16">
        <v>200001</v>
      </c>
      <c r="H16" s="17"/>
      <c r="I16" s="15">
        <f aca="true" t="shared" si="5" ref="I16:I27">ROUND(H16*$E$20,0)</f>
        <v>0</v>
      </c>
      <c r="J16" s="45">
        <f>ROUND(I16*$E$23,2)</f>
        <v>0</v>
      </c>
      <c r="L16" s="45">
        <f aca="true" t="shared" si="6" ref="L16:L27">ROUND(J16*K16,2)</f>
        <v>0</v>
      </c>
    </row>
    <row r="17" spans="1:12" ht="12.75">
      <c r="A17" s="58"/>
      <c r="B17" s="59"/>
      <c r="C17" s="59"/>
      <c r="D17" s="59"/>
      <c r="E17" s="60"/>
      <c r="G17">
        <v>200002</v>
      </c>
      <c r="H17" s="17"/>
      <c r="I17" s="15">
        <f t="shared" si="5"/>
        <v>0</v>
      </c>
      <c r="J17" s="45">
        <f aca="true" t="shared" si="7" ref="J17:J27">ROUND(I17*$E$23,2)</f>
        <v>0</v>
      </c>
      <c r="L17" s="45">
        <f t="shared" si="6"/>
        <v>0</v>
      </c>
    </row>
    <row r="18" spans="1:12" ht="13.5" thickBot="1">
      <c r="A18" s="61"/>
      <c r="B18" s="62"/>
      <c r="C18" s="62"/>
      <c r="D18" s="62"/>
      <c r="E18" s="63"/>
      <c r="G18">
        <v>200003</v>
      </c>
      <c r="H18" s="17"/>
      <c r="I18" s="15">
        <f t="shared" si="5"/>
        <v>0</v>
      </c>
      <c r="J18" s="45">
        <f t="shared" si="7"/>
        <v>0</v>
      </c>
      <c r="L18" s="45">
        <f t="shared" si="6"/>
        <v>0</v>
      </c>
    </row>
    <row r="19" spans="1:12" ht="12.75">
      <c r="A19" s="2"/>
      <c r="E19" s="14"/>
      <c r="G19">
        <v>200004</v>
      </c>
      <c r="H19" s="17"/>
      <c r="I19" s="15">
        <f t="shared" si="5"/>
        <v>0</v>
      </c>
      <c r="J19" s="45">
        <f t="shared" si="7"/>
        <v>0</v>
      </c>
      <c r="L19" s="45">
        <f t="shared" si="6"/>
        <v>0</v>
      </c>
    </row>
    <row r="20" spans="4:12" ht="13.5" thickBot="1">
      <c r="D20" s="44" t="s">
        <v>69</v>
      </c>
      <c r="E20" s="37">
        <f>SUM(E2:E18)</f>
        <v>1.5799999999999998</v>
      </c>
      <c r="G20">
        <v>200005</v>
      </c>
      <c r="H20" s="17"/>
      <c r="I20" s="15">
        <f t="shared" si="5"/>
        <v>0</v>
      </c>
      <c r="J20" s="45">
        <f t="shared" si="7"/>
        <v>0</v>
      </c>
      <c r="L20" s="45">
        <f t="shared" si="6"/>
        <v>0</v>
      </c>
    </row>
    <row r="21" spans="4:12" ht="13.5" thickTop="1">
      <c r="D21" s="10"/>
      <c r="E21" s="14"/>
      <c r="G21">
        <v>200006</v>
      </c>
      <c r="H21" s="17"/>
      <c r="I21" s="15">
        <f t="shared" si="5"/>
        <v>0</v>
      </c>
      <c r="J21" s="45">
        <f t="shared" si="7"/>
        <v>0</v>
      </c>
      <c r="L21" s="45">
        <f t="shared" si="6"/>
        <v>0</v>
      </c>
    </row>
    <row r="22" spans="4:12" ht="12.75">
      <c r="D22" s="10" t="s">
        <v>194</v>
      </c>
      <c r="E22" s="47"/>
      <c r="G22">
        <v>200007</v>
      </c>
      <c r="H22" s="17"/>
      <c r="I22" s="15">
        <f t="shared" si="5"/>
        <v>0</v>
      </c>
      <c r="J22" s="45">
        <f t="shared" si="7"/>
        <v>0</v>
      </c>
      <c r="L22" s="45">
        <f t="shared" si="6"/>
        <v>0</v>
      </c>
    </row>
    <row r="23" spans="4:12" ht="12.75">
      <c r="D23" s="10" t="s">
        <v>195</v>
      </c>
      <c r="E23" s="47"/>
      <c r="G23">
        <v>200008</v>
      </c>
      <c r="H23" s="17"/>
      <c r="I23" s="15">
        <f t="shared" si="5"/>
        <v>0</v>
      </c>
      <c r="J23" s="45">
        <f t="shared" si="7"/>
        <v>0</v>
      </c>
      <c r="L23" s="45">
        <f t="shared" si="6"/>
        <v>0</v>
      </c>
    </row>
    <row r="24" spans="4:12" ht="12.75">
      <c r="D24" s="10" t="s">
        <v>196</v>
      </c>
      <c r="E24" s="47"/>
      <c r="G24">
        <v>200009</v>
      </c>
      <c r="H24" s="17"/>
      <c r="I24" s="15">
        <f t="shared" si="5"/>
        <v>0</v>
      </c>
      <c r="J24" s="45">
        <f t="shared" si="7"/>
        <v>0</v>
      </c>
      <c r="L24" s="45">
        <f t="shared" si="6"/>
        <v>0</v>
      </c>
    </row>
    <row r="25" spans="4:12" ht="12.75">
      <c r="D25" s="10" t="s">
        <v>197</v>
      </c>
      <c r="E25" s="47"/>
      <c r="G25">
        <v>200010</v>
      </c>
      <c r="H25" s="17"/>
      <c r="I25" s="15">
        <f t="shared" si="5"/>
        <v>0</v>
      </c>
      <c r="J25" s="45">
        <f t="shared" si="7"/>
        <v>0</v>
      </c>
      <c r="L25" s="45">
        <f t="shared" si="6"/>
        <v>0</v>
      </c>
    </row>
    <row r="26" spans="4:12" ht="12.75">
      <c r="D26" s="10" t="s">
        <v>198</v>
      </c>
      <c r="E26" s="47"/>
      <c r="G26">
        <v>200011</v>
      </c>
      <c r="H26" s="17"/>
      <c r="I26" s="15">
        <f t="shared" si="5"/>
        <v>0</v>
      </c>
      <c r="J26" s="45">
        <f t="shared" si="7"/>
        <v>0</v>
      </c>
      <c r="L26" s="45">
        <f t="shared" si="6"/>
        <v>0</v>
      </c>
    </row>
    <row r="27" spans="4:12" ht="12.75">
      <c r="D27" s="10" t="s">
        <v>199</v>
      </c>
      <c r="E27" s="47"/>
      <c r="G27">
        <v>200012</v>
      </c>
      <c r="H27" s="17"/>
      <c r="I27" s="15">
        <f t="shared" si="5"/>
        <v>0</v>
      </c>
      <c r="J27" s="45">
        <f t="shared" si="7"/>
        <v>0</v>
      </c>
      <c r="L27" s="45">
        <f t="shared" si="6"/>
        <v>0</v>
      </c>
    </row>
    <row r="28" spans="4:12" ht="12.75">
      <c r="D28" s="10" t="s">
        <v>200</v>
      </c>
      <c r="E28" s="47"/>
      <c r="G28" t="s">
        <v>35</v>
      </c>
      <c r="H28" s="18">
        <f>SUM(H16:H27)</f>
        <v>0</v>
      </c>
      <c r="I28" s="18">
        <f>SUM(I16:I27)</f>
        <v>0</v>
      </c>
      <c r="J28" s="46">
        <f>SUM(J16:J27)</f>
        <v>0</v>
      </c>
      <c r="L28" s="46">
        <f>SUM(L16:L27)</f>
        <v>0</v>
      </c>
    </row>
    <row r="29" spans="1:5" ht="15.75">
      <c r="A29" s="65" t="s">
        <v>72</v>
      </c>
      <c r="D29" s="10" t="s">
        <v>233</v>
      </c>
      <c r="E29" s="47"/>
    </row>
    <row r="30" spans="1:12" ht="12.75">
      <c r="A30" t="s">
        <v>203</v>
      </c>
      <c r="G30">
        <v>200101</v>
      </c>
      <c r="H30" s="17"/>
      <c r="I30" s="15">
        <f aca="true" t="shared" si="8" ref="I30:I41">ROUND(H30*$E$20,0)</f>
        <v>0</v>
      </c>
      <c r="J30" s="45">
        <f>ROUND(I30*$E$24,2)</f>
        <v>0</v>
      </c>
      <c r="L30" s="45">
        <f aca="true" t="shared" si="9" ref="L30:L41">ROUND(J30*K30,2)</f>
        <v>0</v>
      </c>
    </row>
    <row r="31" spans="1:12" ht="12.75">
      <c r="A31" t="s">
        <v>204</v>
      </c>
      <c r="G31">
        <v>200102</v>
      </c>
      <c r="H31" s="17"/>
      <c r="I31" s="15">
        <f t="shared" si="8"/>
        <v>0</v>
      </c>
      <c r="J31" s="45">
        <f aca="true" t="shared" si="10" ref="J31:J41">ROUND(I31*$E$24,2)</f>
        <v>0</v>
      </c>
      <c r="L31" s="45">
        <f t="shared" si="9"/>
        <v>0</v>
      </c>
    </row>
    <row r="32" spans="1:12" ht="12.75">
      <c r="A32" s="7" t="s">
        <v>205</v>
      </c>
      <c r="G32">
        <v>200103</v>
      </c>
      <c r="H32" s="17"/>
      <c r="I32" s="15">
        <f t="shared" si="8"/>
        <v>0</v>
      </c>
      <c r="J32" s="45">
        <f t="shared" si="10"/>
        <v>0</v>
      </c>
      <c r="L32" s="45">
        <f t="shared" si="9"/>
        <v>0</v>
      </c>
    </row>
    <row r="33" spans="1:12" ht="12.75">
      <c r="A33" t="s">
        <v>77</v>
      </c>
      <c r="G33">
        <v>200104</v>
      </c>
      <c r="H33" s="17"/>
      <c r="I33" s="15">
        <f t="shared" si="8"/>
        <v>0</v>
      </c>
      <c r="J33" s="45">
        <f t="shared" si="10"/>
        <v>0</v>
      </c>
      <c r="L33" s="45">
        <f t="shared" si="9"/>
        <v>0</v>
      </c>
    </row>
    <row r="34" spans="1:12" ht="12.75">
      <c r="A34" t="s">
        <v>78</v>
      </c>
      <c r="G34">
        <v>200105</v>
      </c>
      <c r="H34" s="17"/>
      <c r="I34" s="15">
        <f t="shared" si="8"/>
        <v>0</v>
      </c>
      <c r="J34" s="45">
        <f t="shared" si="10"/>
        <v>0</v>
      </c>
      <c r="L34" s="45">
        <f t="shared" si="9"/>
        <v>0</v>
      </c>
    </row>
    <row r="35" spans="1:12" ht="12.75">
      <c r="A35" t="s">
        <v>79</v>
      </c>
      <c r="G35">
        <v>200106</v>
      </c>
      <c r="H35" s="17"/>
      <c r="I35" s="15">
        <f t="shared" si="8"/>
        <v>0</v>
      </c>
      <c r="J35" s="45">
        <f t="shared" si="10"/>
        <v>0</v>
      </c>
      <c r="L35" s="45">
        <f t="shared" si="9"/>
        <v>0</v>
      </c>
    </row>
    <row r="36" spans="1:12" ht="12.75">
      <c r="A36" t="s">
        <v>80</v>
      </c>
      <c r="G36">
        <v>200107</v>
      </c>
      <c r="H36" s="17"/>
      <c r="I36" s="15">
        <f t="shared" si="8"/>
        <v>0</v>
      </c>
      <c r="J36" s="45">
        <f t="shared" si="10"/>
        <v>0</v>
      </c>
      <c r="L36" s="45">
        <f t="shared" si="9"/>
        <v>0</v>
      </c>
    </row>
    <row r="37" spans="1:12" ht="12.75">
      <c r="A37" t="s">
        <v>164</v>
      </c>
      <c r="G37">
        <v>200108</v>
      </c>
      <c r="H37" s="17"/>
      <c r="I37" s="15">
        <f t="shared" si="8"/>
        <v>0</v>
      </c>
      <c r="J37" s="45">
        <f t="shared" si="10"/>
        <v>0</v>
      </c>
      <c r="L37" s="45">
        <f t="shared" si="9"/>
        <v>0</v>
      </c>
    </row>
    <row r="38" spans="1:12" ht="12.75">
      <c r="A38" t="s">
        <v>81</v>
      </c>
      <c r="G38">
        <v>200109</v>
      </c>
      <c r="H38" s="17"/>
      <c r="I38" s="15">
        <f t="shared" si="8"/>
        <v>0</v>
      </c>
      <c r="J38" s="45">
        <f t="shared" si="10"/>
        <v>0</v>
      </c>
      <c r="L38" s="45">
        <f t="shared" si="9"/>
        <v>0</v>
      </c>
    </row>
    <row r="39" spans="1:12" ht="12.75">
      <c r="A39" t="s">
        <v>193</v>
      </c>
      <c r="G39">
        <v>200110</v>
      </c>
      <c r="H39" s="17"/>
      <c r="I39" s="15">
        <f t="shared" si="8"/>
        <v>0</v>
      </c>
      <c r="J39" s="45">
        <f t="shared" si="10"/>
        <v>0</v>
      </c>
      <c r="L39" s="45">
        <f t="shared" si="9"/>
        <v>0</v>
      </c>
    </row>
    <row r="40" spans="1:12" ht="12.75">
      <c r="A40" t="s">
        <v>82</v>
      </c>
      <c r="G40">
        <v>200111</v>
      </c>
      <c r="H40" s="17"/>
      <c r="I40" s="15">
        <f t="shared" si="8"/>
        <v>0</v>
      </c>
      <c r="J40" s="45">
        <f t="shared" si="10"/>
        <v>0</v>
      </c>
      <c r="L40" s="45">
        <f t="shared" si="9"/>
        <v>0</v>
      </c>
    </row>
    <row r="41" spans="1:12" ht="12.75">
      <c r="A41" t="s">
        <v>83</v>
      </c>
      <c r="F41" s="24"/>
      <c r="G41">
        <v>200112</v>
      </c>
      <c r="H41" s="17"/>
      <c r="I41" s="15">
        <f t="shared" si="8"/>
        <v>0</v>
      </c>
      <c r="J41" s="45">
        <f t="shared" si="10"/>
        <v>0</v>
      </c>
      <c r="L41" s="45">
        <f t="shared" si="9"/>
        <v>0</v>
      </c>
    </row>
    <row r="42" spans="1:12" ht="12.75">
      <c r="A42" t="s">
        <v>84</v>
      </c>
      <c r="F42" s="24"/>
      <c r="G42" t="s">
        <v>35</v>
      </c>
      <c r="H42" s="18">
        <f>SUM(H30:H41)</f>
        <v>0</v>
      </c>
      <c r="I42" s="18">
        <f>SUM(I30:I41)</f>
        <v>0</v>
      </c>
      <c r="J42" s="46">
        <f>SUM(J30:J41)</f>
        <v>0</v>
      </c>
      <c r="L42" s="46">
        <f>SUM(L30:L41)</f>
        <v>0</v>
      </c>
    </row>
    <row r="43" spans="1:8" ht="12.75">
      <c r="A43" t="s">
        <v>85</v>
      </c>
      <c r="F43" s="24"/>
      <c r="H43" s="43"/>
    </row>
    <row r="44" spans="1:12" ht="12.75">
      <c r="A44" t="s">
        <v>86</v>
      </c>
      <c r="F44" s="24"/>
      <c r="G44">
        <v>200201</v>
      </c>
      <c r="H44" s="17"/>
      <c r="I44" s="15">
        <f aca="true" t="shared" si="11" ref="I44:I55">ROUND(H44*$E$20,0)</f>
        <v>0</v>
      </c>
      <c r="J44" s="45">
        <f>ROUND(I44*$E$25,2)</f>
        <v>0</v>
      </c>
      <c r="L44" s="45">
        <f aca="true" t="shared" si="12" ref="L44:L55">ROUND(J44*K44,2)</f>
        <v>0</v>
      </c>
    </row>
    <row r="45" spans="1:12" ht="12.75">
      <c r="A45" t="s">
        <v>90</v>
      </c>
      <c r="F45" s="24"/>
      <c r="G45">
        <v>200202</v>
      </c>
      <c r="H45" s="17"/>
      <c r="I45" s="15">
        <f t="shared" si="11"/>
        <v>0</v>
      </c>
      <c r="J45" s="45">
        <f aca="true" t="shared" si="13" ref="J45:J55">ROUND(I45*$E$25,2)</f>
        <v>0</v>
      </c>
      <c r="L45" s="45">
        <f t="shared" si="12"/>
        <v>0</v>
      </c>
    </row>
    <row r="46" spans="1:12" ht="12.75">
      <c r="A46" t="s">
        <v>91</v>
      </c>
      <c r="F46" s="14"/>
      <c r="G46">
        <v>200203</v>
      </c>
      <c r="H46" s="17"/>
      <c r="I46" s="15">
        <f t="shared" si="11"/>
        <v>0</v>
      </c>
      <c r="J46" s="45">
        <f t="shared" si="13"/>
        <v>0</v>
      </c>
      <c r="L46" s="45">
        <f t="shared" si="12"/>
        <v>0</v>
      </c>
    </row>
    <row r="47" spans="1:12" ht="12.75">
      <c r="A47" t="s">
        <v>92</v>
      </c>
      <c r="F47" s="14"/>
      <c r="G47">
        <v>200204</v>
      </c>
      <c r="H47" s="17"/>
      <c r="I47" s="15">
        <f t="shared" si="11"/>
        <v>0</v>
      </c>
      <c r="J47" s="45">
        <f t="shared" si="13"/>
        <v>0</v>
      </c>
      <c r="L47" s="45">
        <f t="shared" si="12"/>
        <v>0</v>
      </c>
    </row>
    <row r="48" spans="1:12" ht="12.75">
      <c r="A48" t="s">
        <v>87</v>
      </c>
      <c r="F48" s="14"/>
      <c r="G48">
        <v>200205</v>
      </c>
      <c r="H48" s="17"/>
      <c r="I48" s="15">
        <f t="shared" si="11"/>
        <v>0</v>
      </c>
      <c r="J48" s="45">
        <f t="shared" si="13"/>
        <v>0</v>
      </c>
      <c r="L48" s="45">
        <f t="shared" si="12"/>
        <v>0</v>
      </c>
    </row>
    <row r="49" spans="1:12" ht="12.75">
      <c r="A49" t="s">
        <v>187</v>
      </c>
      <c r="F49" s="14"/>
      <c r="G49">
        <v>200206</v>
      </c>
      <c r="H49" s="17"/>
      <c r="I49" s="15">
        <f t="shared" si="11"/>
        <v>0</v>
      </c>
      <c r="J49" s="45">
        <f t="shared" si="13"/>
        <v>0</v>
      </c>
      <c r="L49" s="45">
        <f t="shared" si="12"/>
        <v>0</v>
      </c>
    </row>
    <row r="50" spans="1:12" ht="12.75">
      <c r="A50" t="s">
        <v>88</v>
      </c>
      <c r="F50" s="14"/>
      <c r="G50">
        <v>200207</v>
      </c>
      <c r="H50" s="17"/>
      <c r="I50" s="15">
        <f t="shared" si="11"/>
        <v>0</v>
      </c>
      <c r="J50" s="45">
        <f t="shared" si="13"/>
        <v>0</v>
      </c>
      <c r="L50" s="45">
        <f t="shared" si="12"/>
        <v>0</v>
      </c>
    </row>
    <row r="51" spans="1:12" ht="12.75">
      <c r="A51" t="s">
        <v>89</v>
      </c>
      <c r="F51" s="14"/>
      <c r="G51">
        <v>200208</v>
      </c>
      <c r="H51" s="17"/>
      <c r="I51" s="15">
        <f t="shared" si="11"/>
        <v>0</v>
      </c>
      <c r="J51" s="45">
        <f t="shared" si="13"/>
        <v>0</v>
      </c>
      <c r="L51" s="45">
        <f t="shared" si="12"/>
        <v>0</v>
      </c>
    </row>
    <row r="52" spans="1:12" ht="12.75">
      <c r="A52" s="7" t="s">
        <v>188</v>
      </c>
      <c r="F52" s="14"/>
      <c r="G52">
        <v>200209</v>
      </c>
      <c r="H52" s="17"/>
      <c r="I52" s="15">
        <f t="shared" si="11"/>
        <v>0</v>
      </c>
      <c r="J52" s="45">
        <f t="shared" si="13"/>
        <v>0</v>
      </c>
      <c r="L52" s="45">
        <f t="shared" si="12"/>
        <v>0</v>
      </c>
    </row>
    <row r="53" spans="1:12" ht="12.75">
      <c r="A53" t="s">
        <v>206</v>
      </c>
      <c r="F53" s="14"/>
      <c r="G53">
        <v>200210</v>
      </c>
      <c r="H53" s="17"/>
      <c r="I53" s="15">
        <f t="shared" si="11"/>
        <v>0</v>
      </c>
      <c r="J53" s="45">
        <f t="shared" si="13"/>
        <v>0</v>
      </c>
      <c r="L53" s="45">
        <f t="shared" si="12"/>
        <v>0</v>
      </c>
    </row>
    <row r="54" spans="1:12" ht="12.75">
      <c r="A54" t="s">
        <v>93</v>
      </c>
      <c r="F54" s="14"/>
      <c r="G54">
        <v>200211</v>
      </c>
      <c r="H54" s="17"/>
      <c r="I54" s="15">
        <f t="shared" si="11"/>
        <v>0</v>
      </c>
      <c r="J54" s="45">
        <f t="shared" si="13"/>
        <v>0</v>
      </c>
      <c r="L54" s="45">
        <f t="shared" si="12"/>
        <v>0</v>
      </c>
    </row>
    <row r="55" spans="1:12" ht="12.75">
      <c r="A55" t="s">
        <v>94</v>
      </c>
      <c r="F55" s="14"/>
      <c r="G55">
        <v>200212</v>
      </c>
      <c r="H55" s="17"/>
      <c r="I55" s="15">
        <f t="shared" si="11"/>
        <v>0</v>
      </c>
      <c r="J55" s="45">
        <f t="shared" si="13"/>
        <v>0</v>
      </c>
      <c r="L55" s="45">
        <f t="shared" si="12"/>
        <v>0</v>
      </c>
    </row>
    <row r="56" spans="1:12" ht="12.75">
      <c r="A56" t="s">
        <v>207</v>
      </c>
      <c r="F56" s="14"/>
      <c r="G56" t="s">
        <v>35</v>
      </c>
      <c r="H56" s="18">
        <f>SUM(H44:H55)</f>
        <v>0</v>
      </c>
      <c r="I56" s="18">
        <f>SUM(I44:I55)</f>
        <v>0</v>
      </c>
      <c r="J56" s="46">
        <f>SUM(J44:J55)</f>
        <v>0</v>
      </c>
      <c r="L56" s="46">
        <f>SUM(L44:L55)</f>
        <v>0</v>
      </c>
    </row>
    <row r="57" spans="1:6" ht="12.75">
      <c r="A57" t="s">
        <v>224</v>
      </c>
      <c r="F57" s="14"/>
    </row>
    <row r="58" spans="1:12" ht="12.75">
      <c r="A58" t="s">
        <v>225</v>
      </c>
      <c r="F58" s="14"/>
      <c r="G58">
        <v>200301</v>
      </c>
      <c r="H58" s="17"/>
      <c r="I58" s="15">
        <f aca="true" t="shared" si="14" ref="I58:I69">ROUND(H58*$E$20,0)</f>
        <v>0</v>
      </c>
      <c r="J58" s="45">
        <f>ROUND(I58*$E$26,2)</f>
        <v>0</v>
      </c>
      <c r="L58" s="45">
        <f aca="true" t="shared" si="15" ref="L58:L69">ROUND(J58*K58,2)</f>
        <v>0</v>
      </c>
    </row>
    <row r="59" spans="1:12" ht="12.75">
      <c r="A59" t="s">
        <v>208</v>
      </c>
      <c r="F59" s="14"/>
      <c r="G59">
        <v>200302</v>
      </c>
      <c r="H59" s="17"/>
      <c r="I59" s="15">
        <f t="shared" si="14"/>
        <v>0</v>
      </c>
      <c r="J59" s="45">
        <f aca="true" t="shared" si="16" ref="J59:J69">ROUND(I59*$E$26,2)</f>
        <v>0</v>
      </c>
      <c r="L59" s="45">
        <f t="shared" si="15"/>
        <v>0</v>
      </c>
    </row>
    <row r="60" spans="1:12" ht="12.75">
      <c r="A60" t="s">
        <v>201</v>
      </c>
      <c r="F60" s="14"/>
      <c r="G60">
        <v>200303</v>
      </c>
      <c r="H60" s="17"/>
      <c r="I60" s="15">
        <f t="shared" si="14"/>
        <v>0</v>
      </c>
      <c r="J60" s="45">
        <f t="shared" si="16"/>
        <v>0</v>
      </c>
      <c r="L60" s="45">
        <f t="shared" si="15"/>
        <v>0</v>
      </c>
    </row>
    <row r="61" spans="1:12" ht="12.75">
      <c r="A61" t="s">
        <v>124</v>
      </c>
      <c r="F61" s="14"/>
      <c r="G61">
        <v>200304</v>
      </c>
      <c r="H61" s="17"/>
      <c r="I61" s="15">
        <f t="shared" si="14"/>
        <v>0</v>
      </c>
      <c r="J61" s="45">
        <f t="shared" si="16"/>
        <v>0</v>
      </c>
      <c r="L61" s="45">
        <f t="shared" si="15"/>
        <v>0</v>
      </c>
    </row>
    <row r="62" spans="1:12" ht="12.75">
      <c r="A62" t="s">
        <v>202</v>
      </c>
      <c r="F62" s="14"/>
      <c r="G62">
        <v>200305</v>
      </c>
      <c r="H62" s="17"/>
      <c r="I62" s="15">
        <f t="shared" si="14"/>
        <v>0</v>
      </c>
      <c r="J62" s="45">
        <f t="shared" si="16"/>
        <v>0</v>
      </c>
      <c r="L62" s="45">
        <f t="shared" si="15"/>
        <v>0</v>
      </c>
    </row>
    <row r="63" spans="1:12" ht="12.75">
      <c r="A63" t="s">
        <v>125</v>
      </c>
      <c r="F63" s="14"/>
      <c r="G63">
        <v>200306</v>
      </c>
      <c r="H63" s="17"/>
      <c r="I63" s="15">
        <f t="shared" si="14"/>
        <v>0</v>
      </c>
      <c r="J63" s="45">
        <f t="shared" si="16"/>
        <v>0</v>
      </c>
      <c r="L63" s="45">
        <f t="shared" si="15"/>
        <v>0</v>
      </c>
    </row>
    <row r="64" spans="1:12" ht="12.75">
      <c r="A64" t="s">
        <v>126</v>
      </c>
      <c r="F64" s="14"/>
      <c r="G64">
        <v>200307</v>
      </c>
      <c r="H64" s="17"/>
      <c r="I64" s="15">
        <f t="shared" si="14"/>
        <v>0</v>
      </c>
      <c r="J64" s="45">
        <f t="shared" si="16"/>
        <v>0</v>
      </c>
      <c r="L64" s="45">
        <f t="shared" si="15"/>
        <v>0</v>
      </c>
    </row>
    <row r="65" spans="1:12" ht="12.75">
      <c r="A65" s="7" t="s">
        <v>127</v>
      </c>
      <c r="F65" s="14"/>
      <c r="G65">
        <v>200308</v>
      </c>
      <c r="H65" s="17"/>
      <c r="I65" s="15">
        <f t="shared" si="14"/>
        <v>0</v>
      </c>
      <c r="J65" s="45">
        <f t="shared" si="16"/>
        <v>0</v>
      </c>
      <c r="L65" s="45">
        <f t="shared" si="15"/>
        <v>0</v>
      </c>
    </row>
    <row r="66" spans="1:12" ht="12.75">
      <c r="A66" s="7" t="s">
        <v>128</v>
      </c>
      <c r="F66" s="14"/>
      <c r="G66">
        <v>200309</v>
      </c>
      <c r="H66" s="17"/>
      <c r="I66" s="15">
        <f t="shared" si="14"/>
        <v>0</v>
      </c>
      <c r="J66" s="45">
        <f t="shared" si="16"/>
        <v>0</v>
      </c>
      <c r="L66" s="45">
        <f t="shared" si="15"/>
        <v>0</v>
      </c>
    </row>
    <row r="67" spans="1:12" ht="12.75">
      <c r="A67" t="s">
        <v>183</v>
      </c>
      <c r="F67" s="14"/>
      <c r="G67">
        <v>200310</v>
      </c>
      <c r="H67" s="17"/>
      <c r="I67" s="15">
        <f t="shared" si="14"/>
        <v>0</v>
      </c>
      <c r="J67" s="45">
        <f t="shared" si="16"/>
        <v>0</v>
      </c>
      <c r="L67" s="45">
        <f t="shared" si="15"/>
        <v>0</v>
      </c>
    </row>
    <row r="68" spans="6:12" ht="12.75">
      <c r="F68" s="14"/>
      <c r="G68">
        <v>200311</v>
      </c>
      <c r="H68" s="17"/>
      <c r="I68" s="15">
        <f t="shared" si="14"/>
        <v>0</v>
      </c>
      <c r="J68" s="45">
        <f t="shared" si="16"/>
        <v>0</v>
      </c>
      <c r="L68" s="45">
        <f t="shared" si="15"/>
        <v>0</v>
      </c>
    </row>
    <row r="69" spans="6:12" ht="12.75">
      <c r="F69" s="14"/>
      <c r="G69">
        <v>200312</v>
      </c>
      <c r="H69" s="17"/>
      <c r="I69" s="15">
        <f t="shared" si="14"/>
        <v>0</v>
      </c>
      <c r="J69" s="45">
        <f t="shared" si="16"/>
        <v>0</v>
      </c>
      <c r="L69" s="45">
        <f t="shared" si="15"/>
        <v>0</v>
      </c>
    </row>
    <row r="70" spans="6:12" ht="12.75">
      <c r="F70" s="14"/>
      <c r="G70" t="s">
        <v>35</v>
      </c>
      <c r="H70" s="18">
        <f>SUM(H58:H69)</f>
        <v>0</v>
      </c>
      <c r="I70" s="18">
        <f>SUM(I58:I69)</f>
        <v>0</v>
      </c>
      <c r="J70" s="46">
        <f>SUM(J58:J69)</f>
        <v>0</v>
      </c>
      <c r="L70" s="46">
        <f>SUM(L58:L69)</f>
        <v>0</v>
      </c>
    </row>
    <row r="71" ht="12.75">
      <c r="F71" s="14"/>
    </row>
    <row r="72" spans="6:12" ht="12.75">
      <c r="F72" s="14"/>
      <c r="G72">
        <v>200401</v>
      </c>
      <c r="H72" s="17"/>
      <c r="I72" s="15">
        <f aca="true" t="shared" si="17" ref="I72:I83">ROUND(H72*$E$20,0)</f>
        <v>0</v>
      </c>
      <c r="J72" s="45">
        <f>ROUND(I72*$E$27,2)</f>
        <v>0</v>
      </c>
      <c r="L72" s="45">
        <f aca="true" t="shared" si="18" ref="L72:L83">ROUND(J72*K72,2)</f>
        <v>0</v>
      </c>
    </row>
    <row r="73" spans="6:12" ht="12.75">
      <c r="F73" s="14"/>
      <c r="G73">
        <v>200402</v>
      </c>
      <c r="H73" s="17"/>
      <c r="I73" s="15">
        <f t="shared" si="17"/>
        <v>0</v>
      </c>
      <c r="J73" s="45">
        <f aca="true" t="shared" si="19" ref="J73:J83">ROUND(I73*$E$27,2)</f>
        <v>0</v>
      </c>
      <c r="L73" s="45">
        <f t="shared" si="18"/>
        <v>0</v>
      </c>
    </row>
    <row r="74" spans="6:12" ht="12.75">
      <c r="F74" s="14"/>
      <c r="G74">
        <v>200403</v>
      </c>
      <c r="H74" s="17"/>
      <c r="I74" s="15">
        <f t="shared" si="17"/>
        <v>0</v>
      </c>
      <c r="J74" s="45">
        <f t="shared" si="19"/>
        <v>0</v>
      </c>
      <c r="L74" s="45">
        <f t="shared" si="18"/>
        <v>0</v>
      </c>
    </row>
    <row r="75" spans="6:12" ht="12.75">
      <c r="F75" s="14"/>
      <c r="G75">
        <v>200404</v>
      </c>
      <c r="H75" s="17"/>
      <c r="I75" s="15">
        <f t="shared" si="17"/>
        <v>0</v>
      </c>
      <c r="J75" s="45">
        <f t="shared" si="19"/>
        <v>0</v>
      </c>
      <c r="L75" s="45">
        <f t="shared" si="18"/>
        <v>0</v>
      </c>
    </row>
    <row r="76" spans="6:12" ht="12.75">
      <c r="F76" s="14"/>
      <c r="G76">
        <v>200405</v>
      </c>
      <c r="H76" s="17"/>
      <c r="I76" s="15">
        <f t="shared" si="17"/>
        <v>0</v>
      </c>
      <c r="J76" s="45">
        <f t="shared" si="19"/>
        <v>0</v>
      </c>
      <c r="L76" s="45">
        <f t="shared" si="18"/>
        <v>0</v>
      </c>
    </row>
    <row r="77" spans="6:12" ht="12.75">
      <c r="F77" s="14"/>
      <c r="G77">
        <v>200406</v>
      </c>
      <c r="H77" s="17"/>
      <c r="I77" s="15">
        <f t="shared" si="17"/>
        <v>0</v>
      </c>
      <c r="J77" s="45">
        <f t="shared" si="19"/>
        <v>0</v>
      </c>
      <c r="L77" s="45">
        <f t="shared" si="18"/>
        <v>0</v>
      </c>
    </row>
    <row r="78" spans="6:12" ht="12.75">
      <c r="F78" s="14"/>
      <c r="G78">
        <v>200407</v>
      </c>
      <c r="H78" s="17"/>
      <c r="I78" s="15">
        <f t="shared" si="17"/>
        <v>0</v>
      </c>
      <c r="J78" s="45">
        <f t="shared" si="19"/>
        <v>0</v>
      </c>
      <c r="L78" s="45">
        <f t="shared" si="18"/>
        <v>0</v>
      </c>
    </row>
    <row r="79" spans="6:12" ht="12.75">
      <c r="F79" s="14"/>
      <c r="G79">
        <v>200408</v>
      </c>
      <c r="H79" s="17"/>
      <c r="I79" s="15">
        <f t="shared" si="17"/>
        <v>0</v>
      </c>
      <c r="J79" s="45">
        <f t="shared" si="19"/>
        <v>0</v>
      </c>
      <c r="L79" s="45">
        <f t="shared" si="18"/>
        <v>0</v>
      </c>
    </row>
    <row r="80" spans="6:12" ht="12.75">
      <c r="F80" s="14"/>
      <c r="G80">
        <v>200409</v>
      </c>
      <c r="H80" s="17"/>
      <c r="I80" s="15">
        <f t="shared" si="17"/>
        <v>0</v>
      </c>
      <c r="J80" s="45">
        <f t="shared" si="19"/>
        <v>0</v>
      </c>
      <c r="L80" s="45">
        <f t="shared" si="18"/>
        <v>0</v>
      </c>
    </row>
    <row r="81" spans="6:12" ht="12.75">
      <c r="F81" s="14"/>
      <c r="G81">
        <v>200410</v>
      </c>
      <c r="H81" s="17"/>
      <c r="I81" s="15">
        <f t="shared" si="17"/>
        <v>0</v>
      </c>
      <c r="J81" s="45">
        <f t="shared" si="19"/>
        <v>0</v>
      </c>
      <c r="L81" s="45">
        <f t="shared" si="18"/>
        <v>0</v>
      </c>
    </row>
    <row r="82" spans="6:12" ht="12.75">
      <c r="F82" s="14"/>
      <c r="G82">
        <v>200411</v>
      </c>
      <c r="H82" s="17"/>
      <c r="I82" s="15">
        <f t="shared" si="17"/>
        <v>0</v>
      </c>
      <c r="J82" s="45">
        <f t="shared" si="19"/>
        <v>0</v>
      </c>
      <c r="L82" s="45">
        <f t="shared" si="18"/>
        <v>0</v>
      </c>
    </row>
    <row r="83" spans="6:12" ht="12.75">
      <c r="F83" s="14"/>
      <c r="G83">
        <v>200412</v>
      </c>
      <c r="H83" s="17"/>
      <c r="I83" s="15">
        <f t="shared" si="17"/>
        <v>0</v>
      </c>
      <c r="J83" s="45">
        <f t="shared" si="19"/>
        <v>0</v>
      </c>
      <c r="L83" s="45">
        <f t="shared" si="18"/>
        <v>0</v>
      </c>
    </row>
    <row r="84" spans="6:12" ht="12.75">
      <c r="F84" s="14"/>
      <c r="G84" t="s">
        <v>35</v>
      </c>
      <c r="H84" s="18">
        <f>SUM(H72:H83)</f>
        <v>0</v>
      </c>
      <c r="I84" s="18">
        <f>SUM(I72:I83)</f>
        <v>0</v>
      </c>
      <c r="J84" s="46">
        <f>SUM(J72:J83)</f>
        <v>0</v>
      </c>
      <c r="L84" s="46">
        <f>SUM(L72:L83)</f>
        <v>0</v>
      </c>
    </row>
    <row r="85" ht="12.75">
      <c r="F85" s="14"/>
    </row>
    <row r="86" spans="6:12" ht="12.75">
      <c r="F86" s="14"/>
      <c r="G86">
        <v>200501</v>
      </c>
      <c r="H86" s="17"/>
      <c r="I86" s="15">
        <f>ROUND(H86*$E$20,0)</f>
        <v>0</v>
      </c>
      <c r="J86" s="45">
        <f>ROUND(I86*$E$28,2)</f>
        <v>0</v>
      </c>
      <c r="L86" s="45">
        <f>ROUND(J86*K86,2)</f>
        <v>0</v>
      </c>
    </row>
    <row r="87" spans="6:12" ht="12.75">
      <c r="F87" s="14"/>
      <c r="G87">
        <v>200502</v>
      </c>
      <c r="H87" s="17"/>
      <c r="I87" s="15">
        <f>ROUND(H87*$E$20,0)</f>
        <v>0</v>
      </c>
      <c r="J87" s="45">
        <f aca="true" t="shared" si="20" ref="J87:J97">ROUND(I87*$E$28,2)</f>
        <v>0</v>
      </c>
      <c r="L87" s="45">
        <f>ROUND(J87*K87,2)</f>
        <v>0</v>
      </c>
    </row>
    <row r="88" spans="6:12" ht="12.75">
      <c r="F88" s="14"/>
      <c r="G88">
        <v>200503</v>
      </c>
      <c r="H88" s="17"/>
      <c r="I88" s="15">
        <f>ROUND(H88*$E$20,0)</f>
        <v>0</v>
      </c>
      <c r="J88" s="45">
        <f t="shared" si="20"/>
        <v>0</v>
      </c>
      <c r="L88" s="45">
        <f>ROUND(J88*K88,2)</f>
        <v>0</v>
      </c>
    </row>
    <row r="89" spans="6:12" ht="12.75">
      <c r="F89" s="14"/>
      <c r="G89">
        <v>200504</v>
      </c>
      <c r="H89" s="17"/>
      <c r="I89" s="15">
        <f aca="true" t="shared" si="21" ref="I89:I97">ROUND(H89*$E$20,0)</f>
        <v>0</v>
      </c>
      <c r="J89" s="45">
        <f t="shared" si="20"/>
        <v>0</v>
      </c>
      <c r="L89" s="45">
        <f aca="true" t="shared" si="22" ref="L89:L97">ROUND(J89*K89,2)</f>
        <v>0</v>
      </c>
    </row>
    <row r="90" spans="6:12" ht="12.75">
      <c r="F90" s="14"/>
      <c r="G90">
        <v>200505</v>
      </c>
      <c r="H90" s="17"/>
      <c r="I90" s="15">
        <f t="shared" si="21"/>
        <v>0</v>
      </c>
      <c r="J90" s="45">
        <f t="shared" si="20"/>
        <v>0</v>
      </c>
      <c r="L90" s="45">
        <f t="shared" si="22"/>
        <v>0</v>
      </c>
    </row>
    <row r="91" spans="6:12" ht="12.75">
      <c r="F91" s="14"/>
      <c r="G91">
        <v>200506</v>
      </c>
      <c r="H91" s="17"/>
      <c r="I91" s="15">
        <f t="shared" si="21"/>
        <v>0</v>
      </c>
      <c r="J91" s="45">
        <f t="shared" si="20"/>
        <v>0</v>
      </c>
      <c r="L91" s="45">
        <f t="shared" si="22"/>
        <v>0</v>
      </c>
    </row>
    <row r="92" spans="6:12" ht="12.75">
      <c r="F92" s="14"/>
      <c r="G92">
        <v>200507</v>
      </c>
      <c r="H92" s="17"/>
      <c r="I92" s="15">
        <f t="shared" si="21"/>
        <v>0</v>
      </c>
      <c r="J92" s="45">
        <f t="shared" si="20"/>
        <v>0</v>
      </c>
      <c r="L92" s="45">
        <f t="shared" si="22"/>
        <v>0</v>
      </c>
    </row>
    <row r="93" spans="6:12" ht="12.75">
      <c r="F93" s="14"/>
      <c r="G93">
        <v>200508</v>
      </c>
      <c r="H93" s="17"/>
      <c r="I93" s="15">
        <f t="shared" si="21"/>
        <v>0</v>
      </c>
      <c r="J93" s="45">
        <f t="shared" si="20"/>
        <v>0</v>
      </c>
      <c r="L93" s="45">
        <f t="shared" si="22"/>
        <v>0</v>
      </c>
    </row>
    <row r="94" spans="6:12" ht="12.75">
      <c r="F94" s="14"/>
      <c r="G94">
        <v>200509</v>
      </c>
      <c r="H94" s="17"/>
      <c r="I94" s="15">
        <f t="shared" si="21"/>
        <v>0</v>
      </c>
      <c r="J94" s="45">
        <f t="shared" si="20"/>
        <v>0</v>
      </c>
      <c r="L94" s="45">
        <f t="shared" si="22"/>
        <v>0</v>
      </c>
    </row>
    <row r="95" spans="6:12" ht="12.75">
      <c r="F95" s="14"/>
      <c r="G95">
        <v>200510</v>
      </c>
      <c r="H95" s="17"/>
      <c r="I95" s="15">
        <f t="shared" si="21"/>
        <v>0</v>
      </c>
      <c r="J95" s="45">
        <f t="shared" si="20"/>
        <v>0</v>
      </c>
      <c r="L95" s="45">
        <f t="shared" si="22"/>
        <v>0</v>
      </c>
    </row>
    <row r="96" spans="6:12" ht="12.75">
      <c r="F96" s="14"/>
      <c r="G96">
        <v>200511</v>
      </c>
      <c r="H96" s="17"/>
      <c r="I96" s="15">
        <f t="shared" si="21"/>
        <v>0</v>
      </c>
      <c r="J96" s="45">
        <f t="shared" si="20"/>
        <v>0</v>
      </c>
      <c r="L96" s="45">
        <f t="shared" si="22"/>
        <v>0</v>
      </c>
    </row>
    <row r="97" spans="1:12" ht="12.75">
      <c r="A97" s="7"/>
      <c r="B97" s="6"/>
      <c r="D97"/>
      <c r="G97">
        <v>200512</v>
      </c>
      <c r="H97" s="17"/>
      <c r="I97" s="15">
        <f t="shared" si="21"/>
        <v>0</v>
      </c>
      <c r="J97" s="45">
        <f t="shared" si="20"/>
        <v>0</v>
      </c>
      <c r="L97" s="45">
        <f t="shared" si="22"/>
        <v>0</v>
      </c>
    </row>
    <row r="98" spans="1:12" ht="12.75">
      <c r="A98" s="7"/>
      <c r="B98" s="6"/>
      <c r="D98"/>
      <c r="G98" t="s">
        <v>35</v>
      </c>
      <c r="H98" s="18">
        <f>SUM(H86:H97)</f>
        <v>0</v>
      </c>
      <c r="I98" s="18">
        <f>SUM(I86:I97)</f>
        <v>0</v>
      </c>
      <c r="J98" s="46">
        <f>SUM(J86:J97)</f>
        <v>0</v>
      </c>
      <c r="L98" s="46">
        <f>SUM(L86:L97)</f>
        <v>0</v>
      </c>
    </row>
    <row r="99" spans="1:12" ht="12.75">
      <c r="A99" s="7"/>
      <c r="B99" s="6"/>
      <c r="D99"/>
      <c r="H99" s="92"/>
      <c r="I99" s="92"/>
      <c r="J99" s="93"/>
      <c r="L99" s="93"/>
    </row>
    <row r="100" spans="1:12" ht="12.75">
      <c r="A100" s="7"/>
      <c r="B100" s="6"/>
      <c r="D100"/>
      <c r="G100">
        <v>200601</v>
      </c>
      <c r="H100" s="17"/>
      <c r="I100" s="15">
        <f>ROUND(H100*$E$20,0)</f>
        <v>0</v>
      </c>
      <c r="J100" s="45">
        <f>ROUND(I100*$E$29,2)</f>
        <v>0</v>
      </c>
      <c r="L100" s="45">
        <f>ROUND(J100*K100,2)</f>
        <v>0</v>
      </c>
    </row>
    <row r="101" spans="1:12" ht="12.75">
      <c r="A101" s="7"/>
      <c r="B101" s="6"/>
      <c r="D101"/>
      <c r="G101">
        <v>200602</v>
      </c>
      <c r="H101" s="17"/>
      <c r="I101" s="15">
        <f>ROUND(H101*$E$20,0)</f>
        <v>0</v>
      </c>
      <c r="J101" s="45">
        <f>ROUND(I101*$E$29,2)</f>
        <v>0</v>
      </c>
      <c r="L101" s="45">
        <f>ROUND(J101*K101,2)</f>
        <v>0</v>
      </c>
    </row>
    <row r="102" spans="1:12" ht="12.75">
      <c r="A102" s="7"/>
      <c r="B102" s="6"/>
      <c r="D102"/>
      <c r="G102">
        <v>200603</v>
      </c>
      <c r="H102" s="17"/>
      <c r="I102" s="15">
        <f>ROUND(H102*$E$20,0)</f>
        <v>0</v>
      </c>
      <c r="J102" s="45">
        <f>ROUND(I102*$E$29,2)</f>
        <v>0</v>
      </c>
      <c r="L102" s="45">
        <f>ROUND(J102*K102,2)</f>
        <v>0</v>
      </c>
    </row>
    <row r="103" spans="1:12" ht="12.75">
      <c r="A103" s="7"/>
      <c r="B103" s="6"/>
      <c r="D103"/>
      <c r="G103">
        <v>200604</v>
      </c>
      <c r="H103" s="17"/>
      <c r="I103" s="15">
        <f>ROUND(H103*$E$20,0)</f>
        <v>0</v>
      </c>
      <c r="J103" s="45">
        <f>ROUND(I103*$E$29,2)</f>
        <v>0</v>
      </c>
      <c r="L103" s="45">
        <f>ROUND(J103*K103,2)</f>
        <v>0</v>
      </c>
    </row>
    <row r="104" spans="2:12" ht="12.75">
      <c r="B104" s="6"/>
      <c r="D104"/>
      <c r="G104">
        <v>200605</v>
      </c>
      <c r="H104" s="94"/>
      <c r="I104" s="15">
        <f>ROUND(H104*$E$20,0)</f>
        <v>0</v>
      </c>
      <c r="J104" s="45">
        <f>ROUND(I104*$E$29,2)</f>
        <v>0</v>
      </c>
      <c r="L104" s="45">
        <f>ROUND(J104*K104,2)</f>
        <v>0</v>
      </c>
    </row>
    <row r="105" spans="2:12" ht="12.75">
      <c r="B105" s="6"/>
      <c r="D105"/>
      <c r="G105" t="s">
        <v>35</v>
      </c>
      <c r="H105" s="95">
        <f>SUM(H100:H104)</f>
        <v>0</v>
      </c>
      <c r="I105" s="95">
        <f>SUM(I100:I104)</f>
        <v>0</v>
      </c>
      <c r="J105" s="46">
        <f>SUM(J100:J104)</f>
        <v>0</v>
      </c>
      <c r="L105" s="46">
        <f>SUM(L100:L104)</f>
        <v>0</v>
      </c>
    </row>
    <row r="106" spans="2:4" ht="12.75">
      <c r="B106" s="6"/>
      <c r="D106"/>
    </row>
    <row r="107" spans="2:12" ht="13.5" thickBot="1">
      <c r="B107" s="6"/>
      <c r="D107"/>
      <c r="G107" t="s">
        <v>230</v>
      </c>
      <c r="H107" s="86">
        <f>SUM(H2:H105)/2</f>
        <v>0</v>
      </c>
      <c r="I107" s="86">
        <f>SUM(I2:I105)/2</f>
        <v>0</v>
      </c>
      <c r="J107" s="87">
        <f>SUM(J2:J105)/2</f>
        <v>0</v>
      </c>
      <c r="L107" s="87">
        <f>SUM(L2:L105)/2</f>
        <v>0</v>
      </c>
    </row>
    <row r="108" spans="2:4" ht="13.5" thickTop="1">
      <c r="B108" s="6"/>
      <c r="D108"/>
    </row>
    <row r="109" spans="2:4" ht="12.75">
      <c r="B109" s="6"/>
      <c r="D109"/>
    </row>
    <row r="110" spans="2:4" ht="12.75">
      <c r="B110" s="6"/>
      <c r="D110"/>
    </row>
    <row r="111" spans="2:4" ht="12.75">
      <c r="B111" s="6"/>
      <c r="D111"/>
    </row>
    <row r="112" ht="12.75">
      <c r="D112"/>
    </row>
    <row r="113" ht="12.75">
      <c r="D113"/>
    </row>
    <row r="114" ht="12.75">
      <c r="B114" s="6"/>
    </row>
  </sheetData>
  <printOptions/>
  <pageMargins left="0" right="0" top="1" bottom="1" header="0.5" footer="0.5"/>
  <pageSetup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bestFit="1" customWidth="1"/>
    <col min="2" max="2" width="78.8515625" style="0" customWidth="1"/>
    <col min="3" max="3" width="12.00390625" style="0" customWidth="1"/>
    <col min="6" max="6" width="18.00390625" style="39" bestFit="1" customWidth="1"/>
  </cols>
  <sheetData>
    <row r="1" ht="12.75">
      <c r="A1" s="2" t="s">
        <v>163</v>
      </c>
    </row>
    <row r="3" spans="1:2" ht="12.75">
      <c r="A3" s="44" t="s">
        <v>151</v>
      </c>
      <c r="B3" t="s">
        <v>149</v>
      </c>
    </row>
    <row r="4" ht="12.75">
      <c r="B4" t="s">
        <v>157</v>
      </c>
    </row>
    <row r="5" spans="2:7" ht="12.75">
      <c r="B5" t="s">
        <v>159</v>
      </c>
      <c r="C5" s="1"/>
      <c r="D5" s="1"/>
      <c r="E5" s="1"/>
      <c r="F5" s="38"/>
      <c r="G5" s="2"/>
    </row>
    <row r="6" spans="2:7" ht="12.75">
      <c r="B6" t="s">
        <v>166</v>
      </c>
      <c r="C6" s="1"/>
      <c r="D6" s="1"/>
      <c r="E6" s="1"/>
      <c r="F6" s="38"/>
      <c r="G6" s="2"/>
    </row>
    <row r="7" spans="3:7" ht="13.5" thickBot="1">
      <c r="C7" s="22" t="s">
        <v>133</v>
      </c>
      <c r="F7" s="39" t="s">
        <v>9</v>
      </c>
      <c r="G7" s="2"/>
    </row>
    <row r="8" spans="2:6" ht="12.75">
      <c r="B8" s="25" t="s">
        <v>52</v>
      </c>
      <c r="C8" s="26">
        <v>628</v>
      </c>
      <c r="D8" s="27"/>
      <c r="E8" s="27"/>
      <c r="F8" s="40">
        <f>ROUND(C8/182*0.56,2)</f>
        <v>1.93</v>
      </c>
    </row>
    <row r="9" spans="2:6" ht="13.5" thickBot="1">
      <c r="B9" s="28" t="s">
        <v>53</v>
      </c>
      <c r="C9" s="29">
        <v>3442</v>
      </c>
      <c r="D9" s="30"/>
      <c r="E9" s="30"/>
      <c r="F9" s="41">
        <f>ROUND(C9/183*0.44,2)</f>
        <v>8.28</v>
      </c>
    </row>
    <row r="10" spans="2:7" ht="13.5" thickBot="1">
      <c r="B10" s="24"/>
      <c r="C10" s="9"/>
      <c r="D10" s="24"/>
      <c r="E10" s="24"/>
      <c r="F10" s="42"/>
      <c r="G10" s="24"/>
    </row>
    <row r="11" spans="2:6" ht="12.75">
      <c r="B11" s="25" t="s">
        <v>54</v>
      </c>
      <c r="C11" s="26">
        <v>837</v>
      </c>
      <c r="D11" s="27"/>
      <c r="E11" s="27"/>
      <c r="F11" s="40">
        <f>ROUND(C11/182*0.56,2)</f>
        <v>2.58</v>
      </c>
    </row>
    <row r="12" spans="2:6" ht="13.5" thickBot="1">
      <c r="B12" s="28" t="s">
        <v>55</v>
      </c>
      <c r="C12" s="29">
        <v>4425</v>
      </c>
      <c r="D12" s="30"/>
      <c r="E12" s="30"/>
      <c r="F12" s="41">
        <f>ROUND(C12/183*0.44,2)</f>
        <v>10.64</v>
      </c>
    </row>
    <row r="13" spans="2:6" ht="13.5" thickBot="1">
      <c r="B13" s="24"/>
      <c r="C13" s="9"/>
      <c r="D13" s="24"/>
      <c r="E13" s="24"/>
      <c r="F13" s="42"/>
    </row>
    <row r="14" spans="2:6" ht="12.75">
      <c r="B14" s="25" t="s">
        <v>56</v>
      </c>
      <c r="C14" s="26">
        <v>1183</v>
      </c>
      <c r="D14" s="27"/>
      <c r="E14" s="27"/>
      <c r="F14" s="40">
        <f>ROUND(C14/182*0.56,2)</f>
        <v>3.64</v>
      </c>
    </row>
    <row r="15" spans="2:6" ht="13.5" thickBot="1">
      <c r="B15" s="28" t="s">
        <v>57</v>
      </c>
      <c r="C15" s="29">
        <v>5958</v>
      </c>
      <c r="D15" s="30"/>
      <c r="E15" s="30"/>
      <c r="F15" s="41">
        <f>ROUND(C15/183*0.44,2)</f>
        <v>14.33</v>
      </c>
    </row>
    <row r="16" spans="2:7" ht="13.5" thickBot="1">
      <c r="B16" s="24"/>
      <c r="C16" s="9"/>
      <c r="D16" s="24"/>
      <c r="E16" s="24"/>
      <c r="F16" s="42"/>
      <c r="G16" s="24"/>
    </row>
    <row r="17" spans="2:6" ht="12.75">
      <c r="B17" s="25" t="s">
        <v>58</v>
      </c>
      <c r="C17" s="26">
        <v>1535</v>
      </c>
      <c r="D17" s="27"/>
      <c r="E17" s="27"/>
      <c r="F17" s="40">
        <f>ROUND(C17/182*0.56,2)</f>
        <v>4.72</v>
      </c>
    </row>
    <row r="18" spans="2:6" ht="13.5" thickBot="1">
      <c r="B18" s="28" t="s">
        <v>59</v>
      </c>
      <c r="C18" s="29">
        <v>7265</v>
      </c>
      <c r="D18" s="30"/>
      <c r="E18" s="30"/>
      <c r="F18" s="41">
        <f>ROUND(C18/183*0.44,2)</f>
        <v>17.47</v>
      </c>
    </row>
    <row r="19" spans="2:7" ht="12.75">
      <c r="B19" s="24"/>
      <c r="C19" s="23"/>
      <c r="D19" s="14"/>
      <c r="E19" s="14"/>
      <c r="F19" s="38"/>
      <c r="G19" s="14"/>
    </row>
    <row r="20" spans="1:7" ht="12.75">
      <c r="A20" s="44" t="s">
        <v>150</v>
      </c>
      <c r="B20" t="s">
        <v>152</v>
      </c>
      <c r="C20" s="23"/>
      <c r="D20" s="14"/>
      <c r="E20" s="14"/>
      <c r="F20" s="38"/>
      <c r="G20" s="14"/>
    </row>
    <row r="21" spans="2:7" ht="12.75">
      <c r="B21" t="s">
        <v>157</v>
      </c>
      <c r="C21" s="23"/>
      <c r="D21" s="14"/>
      <c r="E21" s="14"/>
      <c r="F21" s="38"/>
      <c r="G21" s="14"/>
    </row>
    <row r="22" spans="2:7" ht="12.75">
      <c r="B22" t="s">
        <v>159</v>
      </c>
      <c r="C22" s="23"/>
      <c r="D22" s="14"/>
      <c r="E22" s="14"/>
      <c r="F22" s="38"/>
      <c r="G22" s="14"/>
    </row>
    <row r="23" spans="2:7" ht="12.75">
      <c r="B23" t="s">
        <v>158</v>
      </c>
      <c r="C23" s="23"/>
      <c r="D23" s="14"/>
      <c r="E23" s="14"/>
      <c r="F23" s="38"/>
      <c r="G23" s="14"/>
    </row>
    <row r="24" spans="2:7" ht="13.5" thickBot="1">
      <c r="B24" s="24"/>
      <c r="C24" s="22" t="s">
        <v>133</v>
      </c>
      <c r="F24" s="39" t="s">
        <v>9</v>
      </c>
      <c r="G24" s="14"/>
    </row>
    <row r="25" spans="2:6" ht="12.75">
      <c r="B25" s="31" t="s">
        <v>60</v>
      </c>
      <c r="C25" s="26">
        <v>628</v>
      </c>
      <c r="D25" s="27"/>
      <c r="E25" s="27"/>
      <c r="F25" s="40">
        <f>ROUND(C25/182*0.56,2)</f>
        <v>1.93</v>
      </c>
    </row>
    <row r="26" spans="2:6" ht="13.5" thickBot="1">
      <c r="B26" s="32" t="s">
        <v>61</v>
      </c>
      <c r="C26" s="29">
        <v>2504</v>
      </c>
      <c r="D26" s="30"/>
      <c r="E26" s="30"/>
      <c r="F26" s="41">
        <f>ROUND(C26/183*0.44,2)</f>
        <v>6.02</v>
      </c>
    </row>
    <row r="27" spans="2:7" ht="13.5" thickBot="1">
      <c r="B27" s="24"/>
      <c r="C27" s="9"/>
      <c r="D27" s="24"/>
      <c r="E27" s="24"/>
      <c r="F27" s="42"/>
      <c r="G27" s="24"/>
    </row>
    <row r="28" spans="2:6" ht="12.75">
      <c r="B28" s="31" t="s">
        <v>62</v>
      </c>
      <c r="C28" s="26">
        <v>837</v>
      </c>
      <c r="D28" s="27"/>
      <c r="E28" s="27"/>
      <c r="F28" s="40">
        <f>ROUND(C28/182*0.56,2)</f>
        <v>2.58</v>
      </c>
    </row>
    <row r="29" spans="2:6" ht="13.5" thickBot="1">
      <c r="B29" s="32" t="s">
        <v>63</v>
      </c>
      <c r="C29" s="29">
        <v>3220</v>
      </c>
      <c r="D29" s="30"/>
      <c r="E29" s="30"/>
      <c r="F29" s="41">
        <f>ROUND(C29/183*0.44,2)</f>
        <v>7.74</v>
      </c>
    </row>
    <row r="30" spans="2:7" ht="13.5" thickBot="1">
      <c r="B30" s="24"/>
      <c r="C30" s="9"/>
      <c r="D30" s="24"/>
      <c r="E30" s="24"/>
      <c r="F30" s="42"/>
      <c r="G30" s="24"/>
    </row>
    <row r="31" spans="2:6" ht="12.75">
      <c r="B31" s="31" t="s">
        <v>64</v>
      </c>
      <c r="C31" s="26">
        <v>1183</v>
      </c>
      <c r="D31" s="27"/>
      <c r="E31" s="27"/>
      <c r="F31" s="40">
        <f>ROUND(C31/182*0.56,2)</f>
        <v>3.64</v>
      </c>
    </row>
    <row r="32" spans="2:6" ht="13.5" thickBot="1">
      <c r="B32" s="32" t="s">
        <v>65</v>
      </c>
      <c r="C32" s="29">
        <v>4353</v>
      </c>
      <c r="D32" s="30"/>
      <c r="E32" s="30"/>
      <c r="F32" s="41">
        <f>ROUND(C32/183*0.44,2)</f>
        <v>10.47</v>
      </c>
    </row>
    <row r="33" spans="2:7" ht="13.5" thickBot="1">
      <c r="B33" s="24"/>
      <c r="C33" s="9"/>
      <c r="D33" s="24"/>
      <c r="E33" s="24"/>
      <c r="F33" s="42"/>
      <c r="G33" s="24"/>
    </row>
    <row r="34" spans="2:6" ht="12.75">
      <c r="B34" s="31" t="s">
        <v>66</v>
      </c>
      <c r="C34" s="26">
        <v>1535</v>
      </c>
      <c r="D34" s="27"/>
      <c r="E34" s="27"/>
      <c r="F34" s="40">
        <f>ROUND(C34/182*0.56,2)</f>
        <v>4.72</v>
      </c>
    </row>
    <row r="35" spans="2:6" ht="13.5" thickBot="1">
      <c r="B35" s="32" t="s">
        <v>67</v>
      </c>
      <c r="C35" s="29">
        <v>5331</v>
      </c>
      <c r="D35" s="30"/>
      <c r="E35" s="30"/>
      <c r="F35" s="41">
        <f>ROUND(C35/183*0.44,2)</f>
        <v>12.82</v>
      </c>
    </row>
    <row r="36" spans="2:6" ht="12.75">
      <c r="B36" s="14"/>
      <c r="C36" s="9"/>
      <c r="D36" s="9"/>
      <c r="E36" s="9"/>
      <c r="F36" s="42"/>
    </row>
    <row r="37" spans="1:7" ht="12.75">
      <c r="A37" s="44" t="s">
        <v>153</v>
      </c>
      <c r="B37" s="72" t="s">
        <v>155</v>
      </c>
      <c r="C37" s="9"/>
      <c r="D37" s="9"/>
      <c r="E37" s="9"/>
      <c r="F37" s="42"/>
      <c r="G37" s="69"/>
    </row>
    <row r="38" spans="2:7" ht="12.75">
      <c r="B38" t="s">
        <v>156</v>
      </c>
      <c r="C38" s="9"/>
      <c r="D38" s="9"/>
      <c r="E38" s="9"/>
      <c r="F38" s="42"/>
      <c r="G38" s="69"/>
    </row>
    <row r="39" spans="2:7" ht="12.75">
      <c r="B39" s="72" t="s">
        <v>167</v>
      </c>
      <c r="C39" s="9"/>
      <c r="D39" s="9"/>
      <c r="E39" s="9"/>
      <c r="F39" s="42"/>
      <c r="G39" s="69"/>
    </row>
    <row r="40" spans="2:7" ht="13.5" thickBot="1">
      <c r="B40" s="14"/>
      <c r="C40" s="22" t="s">
        <v>133</v>
      </c>
      <c r="F40" s="39" t="s">
        <v>9</v>
      </c>
      <c r="G40" s="69"/>
    </row>
    <row r="41" spans="2:6" ht="12.75">
      <c r="B41" s="33" t="s">
        <v>68</v>
      </c>
      <c r="C41" s="34">
        <f>ROUND(50*1100/1000,0)</f>
        <v>55</v>
      </c>
      <c r="D41" s="26"/>
      <c r="E41" s="27"/>
      <c r="F41" s="40">
        <f>ROUND(C41/182*0.56,2)</f>
        <v>0.17</v>
      </c>
    </row>
    <row r="42" spans="2:6" ht="13.5" thickBot="1">
      <c r="B42" s="35" t="s">
        <v>19</v>
      </c>
      <c r="C42" s="36">
        <f>ROUND(2050*1650/1000,0)</f>
        <v>3383</v>
      </c>
      <c r="D42" s="29"/>
      <c r="E42" s="30"/>
      <c r="F42" s="41">
        <f>ROUND(C42/183*0.44,2)</f>
        <v>8.13</v>
      </c>
    </row>
    <row r="43" spans="2:7" ht="13.5" thickBot="1">
      <c r="B43" s="24"/>
      <c r="C43" s="9"/>
      <c r="D43" s="24"/>
      <c r="E43" s="24"/>
      <c r="F43" s="42"/>
      <c r="G43" s="24"/>
    </row>
    <row r="44" spans="2:6" ht="12.75">
      <c r="B44" s="33" t="s">
        <v>20</v>
      </c>
      <c r="C44" s="34">
        <f>ROUND(80*1100/1000,0)</f>
        <v>88</v>
      </c>
      <c r="D44" s="26"/>
      <c r="E44" s="27"/>
      <c r="F44" s="40">
        <f>ROUND(C44/182*0.56,2)</f>
        <v>0.27</v>
      </c>
    </row>
    <row r="45" spans="2:6" ht="13.5" thickBot="1">
      <c r="B45" s="35" t="s">
        <v>19</v>
      </c>
      <c r="C45" s="36">
        <f>ROUND(2080*1650/1000,0)</f>
        <v>3432</v>
      </c>
      <c r="D45" s="29"/>
      <c r="E45" s="30"/>
      <c r="F45" s="41">
        <f>ROUND(C45/183*0.44,2)</f>
        <v>8.25</v>
      </c>
    </row>
    <row r="46" spans="2:7" ht="13.5" thickBot="1">
      <c r="B46" s="24"/>
      <c r="C46" s="9"/>
      <c r="D46" s="24"/>
      <c r="E46" s="24"/>
      <c r="F46" s="42"/>
      <c r="G46" s="24"/>
    </row>
    <row r="47" spans="2:6" ht="12.75">
      <c r="B47" s="33" t="s">
        <v>21</v>
      </c>
      <c r="C47" s="34">
        <f>ROUND(130*1100/1000,0)</f>
        <v>143</v>
      </c>
      <c r="D47" s="26"/>
      <c r="E47" s="27"/>
      <c r="F47" s="40">
        <f>ROUND(C47/182*0.56,2)</f>
        <v>0.44</v>
      </c>
    </row>
    <row r="48" spans="2:6" ht="13.5" thickBot="1">
      <c r="B48" s="35" t="s">
        <v>19</v>
      </c>
      <c r="C48" s="36">
        <f>ROUND(2130*1650/1000,0)</f>
        <v>3515</v>
      </c>
      <c r="D48" s="29"/>
      <c r="E48" s="30"/>
      <c r="F48" s="41">
        <f>ROUND(C48/183*0.44,2)</f>
        <v>8.45</v>
      </c>
    </row>
    <row r="49" spans="2:7" ht="13.5" thickBot="1">
      <c r="B49" s="24"/>
      <c r="C49" s="9"/>
      <c r="D49" s="24"/>
      <c r="E49" s="24"/>
      <c r="F49" s="42"/>
      <c r="G49" s="24"/>
    </row>
    <row r="50" spans="2:6" ht="12.75">
      <c r="B50" s="33" t="s">
        <v>22</v>
      </c>
      <c r="C50" s="34">
        <f>ROUND(180*1100/1000,0)</f>
        <v>198</v>
      </c>
      <c r="D50" s="26"/>
      <c r="E50" s="27"/>
      <c r="F50" s="40">
        <f>ROUND(C50/182*0.56,2)</f>
        <v>0.61</v>
      </c>
    </row>
    <row r="51" spans="2:6" ht="13.5" thickBot="1">
      <c r="B51" s="35" t="s">
        <v>19</v>
      </c>
      <c r="C51" s="36">
        <f>ROUND(2180*1650/1000,0)</f>
        <v>3597</v>
      </c>
      <c r="D51" s="29"/>
      <c r="E51" s="30"/>
      <c r="F51" s="41">
        <f>ROUND(C51/183*0.44,2)</f>
        <v>8.65</v>
      </c>
    </row>
    <row r="52" spans="2:7" ht="13.5" thickBot="1">
      <c r="B52" s="24"/>
      <c r="C52" s="9"/>
      <c r="D52" s="24"/>
      <c r="E52" s="24"/>
      <c r="F52" s="42"/>
      <c r="G52" s="24"/>
    </row>
    <row r="53" spans="2:6" ht="12.75">
      <c r="B53" s="33" t="s">
        <v>50</v>
      </c>
      <c r="C53" s="34">
        <f>ROUND(210*1100/1000,0)</f>
        <v>231</v>
      </c>
      <c r="D53" s="26"/>
      <c r="E53" s="27"/>
      <c r="F53" s="40">
        <f>ROUND(C53/182*0.56,2)</f>
        <v>0.71</v>
      </c>
    </row>
    <row r="54" spans="2:6" ht="13.5" thickBot="1">
      <c r="B54" s="35" t="s">
        <v>19</v>
      </c>
      <c r="C54" s="36">
        <f>ROUND(2210*1650/1000,0)</f>
        <v>3647</v>
      </c>
      <c r="D54" s="29"/>
      <c r="E54" s="30"/>
      <c r="F54" s="41">
        <f>ROUND(C54/183*0.44,2)</f>
        <v>8.77</v>
      </c>
    </row>
    <row r="55" spans="2:7" ht="13.5" thickBot="1">
      <c r="B55" s="24"/>
      <c r="C55" s="9"/>
      <c r="D55" s="24"/>
      <c r="E55" s="24"/>
      <c r="F55" s="42"/>
      <c r="G55" s="24"/>
    </row>
    <row r="56" spans="2:6" ht="12.75">
      <c r="B56" s="31" t="s">
        <v>23</v>
      </c>
      <c r="C56" s="34">
        <f>ROUND(68*1100/1000,0)</f>
        <v>75</v>
      </c>
      <c r="D56" s="26"/>
      <c r="E56" s="27"/>
      <c r="F56" s="40">
        <f>ROUND(C56/182*0.56,2)</f>
        <v>0.23</v>
      </c>
    </row>
    <row r="57" spans="2:6" ht="13.5" thickBot="1">
      <c r="B57" s="35" t="s">
        <v>19</v>
      </c>
      <c r="C57" s="36">
        <f>ROUND(2068*1650/1000,0)</f>
        <v>3412</v>
      </c>
      <c r="D57" s="29"/>
      <c r="E57" s="30"/>
      <c r="F57" s="41">
        <f>ROUND(C57/183*0.44,2)</f>
        <v>8.2</v>
      </c>
    </row>
    <row r="58" spans="2:7" ht="13.5" thickBot="1">
      <c r="B58" s="24"/>
      <c r="C58" s="9"/>
      <c r="D58" s="24"/>
      <c r="E58" s="24"/>
      <c r="F58" s="42"/>
      <c r="G58" s="24"/>
    </row>
    <row r="59" spans="2:6" ht="12.75">
      <c r="B59" s="31" t="s">
        <v>24</v>
      </c>
      <c r="C59" s="34">
        <f>ROUND(135*1100/1000,0)</f>
        <v>149</v>
      </c>
      <c r="D59" s="26"/>
      <c r="E59" s="27"/>
      <c r="F59" s="40">
        <f>ROUND(C59/182*0.56,2)</f>
        <v>0.46</v>
      </c>
    </row>
    <row r="60" spans="2:6" ht="13.5" thickBot="1">
      <c r="B60" s="35" t="s">
        <v>19</v>
      </c>
      <c r="C60" s="36">
        <f>ROUND(2135*1650/1000,0)</f>
        <v>3523</v>
      </c>
      <c r="D60" s="29"/>
      <c r="E60" s="30"/>
      <c r="F60" s="41">
        <f>ROUND(C60/183*0.44,2)</f>
        <v>8.47</v>
      </c>
    </row>
    <row r="61" spans="2:7" ht="13.5" thickBot="1">
      <c r="B61" s="24"/>
      <c r="C61" s="9"/>
      <c r="D61" s="24"/>
      <c r="E61" s="24"/>
      <c r="F61" s="42"/>
      <c r="G61" s="24"/>
    </row>
    <row r="62" spans="2:6" ht="12.75">
      <c r="B62" s="31" t="s">
        <v>25</v>
      </c>
      <c r="C62" s="34">
        <f>ROUND(150*1100/1000,0)</f>
        <v>165</v>
      </c>
      <c r="D62" s="26"/>
      <c r="E62" s="27"/>
      <c r="F62" s="40">
        <f>ROUND(C62/182*0.56,2)</f>
        <v>0.51</v>
      </c>
    </row>
    <row r="63" spans="2:6" ht="13.5" thickBot="1">
      <c r="B63" s="35" t="s">
        <v>19</v>
      </c>
      <c r="C63" s="36">
        <f>ROUND(2150*1650/1000,0)</f>
        <v>3548</v>
      </c>
      <c r="D63" s="29"/>
      <c r="E63" s="30"/>
      <c r="F63" s="41">
        <f>ROUND(C63/183*0.44,2)</f>
        <v>8.53</v>
      </c>
    </row>
    <row r="64" spans="2:7" ht="13.5" thickBot="1">
      <c r="B64" s="24"/>
      <c r="C64" s="9"/>
      <c r="D64" s="24"/>
      <c r="E64" s="24"/>
      <c r="F64" s="42"/>
      <c r="G64" s="24"/>
    </row>
    <row r="65" spans="2:6" ht="12.75">
      <c r="B65" s="31" t="s">
        <v>26</v>
      </c>
      <c r="C65" s="34">
        <f>ROUND(260*1100/1000,0)</f>
        <v>286</v>
      </c>
      <c r="D65" s="26"/>
      <c r="E65" s="27"/>
      <c r="F65" s="40">
        <f>ROUND(C65/182*0.56,2)</f>
        <v>0.88</v>
      </c>
    </row>
    <row r="66" spans="2:6" ht="13.5" thickBot="1">
      <c r="B66" s="35" t="s">
        <v>19</v>
      </c>
      <c r="C66" s="36">
        <f>ROUND(2260*1650/1000,0)</f>
        <v>3729</v>
      </c>
      <c r="D66" s="29"/>
      <c r="E66" s="30"/>
      <c r="F66" s="41">
        <f>ROUND(C66/183*0.44,2)</f>
        <v>8.97</v>
      </c>
    </row>
    <row r="67" spans="2:7" ht="13.5" thickBot="1">
      <c r="B67" s="24"/>
      <c r="C67" s="9"/>
      <c r="D67" s="24"/>
      <c r="E67" s="24"/>
      <c r="F67" s="42"/>
      <c r="G67" s="24"/>
    </row>
    <row r="68" spans="2:6" ht="12.75">
      <c r="B68" s="70" t="s">
        <v>27</v>
      </c>
      <c r="C68" s="34">
        <f>ROUND(50*1100/1000,0)</f>
        <v>55</v>
      </c>
      <c r="D68" s="26"/>
      <c r="E68" s="27"/>
      <c r="F68" s="40">
        <f>ROUND(C68/182*0.56,2)</f>
        <v>0.17</v>
      </c>
    </row>
    <row r="69" spans="2:6" ht="13.5" thickBot="1">
      <c r="B69" s="35" t="s">
        <v>19</v>
      </c>
      <c r="C69" s="36">
        <f>ROUND(2050*1650/1000,0)</f>
        <v>3383</v>
      </c>
      <c r="D69" s="29"/>
      <c r="E69" s="30"/>
      <c r="F69" s="41">
        <f>ROUND(C69/183*0.44,2)</f>
        <v>8.13</v>
      </c>
    </row>
    <row r="70" spans="2:7" ht="13.5" thickBot="1">
      <c r="B70" s="24"/>
      <c r="C70" s="9"/>
      <c r="D70" s="24"/>
      <c r="E70" s="24"/>
      <c r="F70" s="42"/>
      <c r="G70" s="24"/>
    </row>
    <row r="71" spans="2:6" ht="12.75">
      <c r="B71" s="70" t="s">
        <v>29</v>
      </c>
      <c r="C71" s="34">
        <f>ROUND(85*1100/1000,0)</f>
        <v>94</v>
      </c>
      <c r="D71" s="26"/>
      <c r="E71" s="27"/>
      <c r="F71" s="40">
        <f>ROUND(C71/182*0.56,2)</f>
        <v>0.29</v>
      </c>
    </row>
    <row r="72" spans="2:6" ht="13.5" thickBot="1">
      <c r="B72" s="35" t="s">
        <v>19</v>
      </c>
      <c r="C72" s="36">
        <f>ROUND(2085*1650/1000,0)</f>
        <v>3440</v>
      </c>
      <c r="D72" s="29"/>
      <c r="E72" s="30"/>
      <c r="F72" s="41">
        <f>ROUND(C72/183*0.44,2)</f>
        <v>8.27</v>
      </c>
    </row>
    <row r="73" spans="2:7" ht="13.5" thickBot="1">
      <c r="B73" s="24"/>
      <c r="C73" s="9"/>
      <c r="D73" s="24"/>
      <c r="E73" s="24"/>
      <c r="F73" s="42"/>
      <c r="G73" s="24"/>
    </row>
    <row r="74" spans="2:6" ht="12.75">
      <c r="B74" s="70" t="s">
        <v>30</v>
      </c>
      <c r="C74" s="34">
        <f>ROUND(165*1100/1000,0)</f>
        <v>182</v>
      </c>
      <c r="D74" s="26"/>
      <c r="E74" s="27"/>
      <c r="F74" s="40">
        <f>ROUND(C74/182*0.56,2)</f>
        <v>0.56</v>
      </c>
    </row>
    <row r="75" spans="2:6" ht="13.5" thickBot="1">
      <c r="B75" s="35" t="s">
        <v>19</v>
      </c>
      <c r="C75" s="36">
        <f>ROUND(2165*1650/1000,0)</f>
        <v>3572</v>
      </c>
      <c r="D75" s="29"/>
      <c r="E75" s="30"/>
      <c r="F75" s="41">
        <f>ROUND(C75/183*0.44,2)</f>
        <v>8.59</v>
      </c>
    </row>
    <row r="76" spans="2:7" ht="13.5" thickBot="1">
      <c r="B76" s="24"/>
      <c r="C76" s="9"/>
      <c r="D76" s="24"/>
      <c r="E76" s="24"/>
      <c r="F76" s="42"/>
      <c r="G76" s="24"/>
    </row>
    <row r="77" spans="2:6" ht="12.75">
      <c r="B77" s="70" t="s">
        <v>31</v>
      </c>
      <c r="C77" s="34">
        <f>ROUND(165*1100/1000,0)</f>
        <v>182</v>
      </c>
      <c r="D77" s="26"/>
      <c r="E77" s="27"/>
      <c r="F77" s="40">
        <f>ROUND(C77/182*0.56,2)</f>
        <v>0.56</v>
      </c>
    </row>
    <row r="78" spans="2:6" ht="13.5" thickBot="1">
      <c r="B78" s="35" t="s">
        <v>19</v>
      </c>
      <c r="C78" s="36">
        <f>ROUND(2165*1650/1000,0)</f>
        <v>3572</v>
      </c>
      <c r="D78" s="29"/>
      <c r="E78" s="30"/>
      <c r="F78" s="41">
        <f>ROUND(C78/183*0.44,2)</f>
        <v>8.59</v>
      </c>
    </row>
    <row r="79" spans="2:7" ht="13.5" thickBot="1">
      <c r="B79" s="24"/>
      <c r="C79" s="9"/>
      <c r="D79" s="24"/>
      <c r="E79" s="24"/>
      <c r="F79" s="42"/>
      <c r="G79" s="24"/>
    </row>
    <row r="80" spans="2:6" ht="12.75">
      <c r="B80" s="70" t="s">
        <v>49</v>
      </c>
      <c r="C80" s="34">
        <f>ROUND(235*1100/1000,0)</f>
        <v>259</v>
      </c>
      <c r="D80" s="26"/>
      <c r="E80" s="27"/>
      <c r="F80" s="40">
        <f>ROUND(C80/182*0.56,2)</f>
        <v>0.8</v>
      </c>
    </row>
    <row r="81" spans="2:6" ht="13.5" thickBot="1">
      <c r="B81" s="35" t="s">
        <v>19</v>
      </c>
      <c r="C81" s="36">
        <f>ROUND(2235*1650/1000,0)</f>
        <v>3688</v>
      </c>
      <c r="D81" s="29"/>
      <c r="E81" s="30"/>
      <c r="F81" s="41">
        <f>ROUND(C81/183*0.44,2)</f>
        <v>8.87</v>
      </c>
    </row>
    <row r="82" spans="2:7" ht="13.5" thickBot="1">
      <c r="B82" s="24"/>
      <c r="C82" s="9"/>
      <c r="D82" s="24"/>
      <c r="E82" s="24"/>
      <c r="F82" s="42"/>
      <c r="G82" s="24"/>
    </row>
    <row r="83" spans="2:6" ht="12.75">
      <c r="B83" s="71" t="s">
        <v>32</v>
      </c>
      <c r="C83" s="34">
        <f>ROUND(150*1100/1000,0)</f>
        <v>165</v>
      </c>
      <c r="D83" s="26"/>
      <c r="E83" s="27"/>
      <c r="F83" s="40">
        <f>ROUND(C83/182*0.56,2)</f>
        <v>0.51</v>
      </c>
    </row>
    <row r="84" spans="2:6" ht="13.5" thickBot="1">
      <c r="B84" s="35" t="s">
        <v>19</v>
      </c>
      <c r="C84" s="36">
        <f>ROUND(2150*1650/1000,0)</f>
        <v>3548</v>
      </c>
      <c r="D84" s="29"/>
      <c r="E84" s="30"/>
      <c r="F84" s="41">
        <f>ROUND(C84/183*0.44,2)</f>
        <v>8.53</v>
      </c>
    </row>
    <row r="85" spans="2:7" ht="13.5" thickBot="1">
      <c r="B85" s="24"/>
      <c r="C85" s="9"/>
      <c r="D85" s="24"/>
      <c r="E85" s="24"/>
      <c r="F85" s="42"/>
      <c r="G85" s="24"/>
    </row>
    <row r="86" spans="2:6" ht="12.75">
      <c r="B86" s="71" t="s">
        <v>33</v>
      </c>
      <c r="C86" s="34">
        <f>ROUND(180*1100/1000,0)</f>
        <v>198</v>
      </c>
      <c r="D86" s="26"/>
      <c r="E86" s="27"/>
      <c r="F86" s="40">
        <f>ROUND(C86/182*0.56,2)</f>
        <v>0.61</v>
      </c>
    </row>
    <row r="87" spans="2:6" ht="13.5" thickBot="1">
      <c r="B87" s="35" t="s">
        <v>19</v>
      </c>
      <c r="C87" s="36">
        <f>ROUND(2180*1650/1000,0)</f>
        <v>3597</v>
      </c>
      <c r="D87" s="29"/>
      <c r="E87" s="30"/>
      <c r="F87" s="41">
        <f>ROUND(C87/183*0.44,2)</f>
        <v>8.65</v>
      </c>
    </row>
    <row r="88" spans="2:7" ht="13.5" thickBot="1">
      <c r="B88" s="24"/>
      <c r="C88" s="9"/>
      <c r="D88" s="24"/>
      <c r="E88" s="24"/>
      <c r="F88" s="42"/>
      <c r="G88" s="24"/>
    </row>
    <row r="89" spans="2:6" ht="12.75">
      <c r="B89" s="71" t="s">
        <v>51</v>
      </c>
      <c r="C89" s="34">
        <f>ROUND(225*1100/1000,0)</f>
        <v>248</v>
      </c>
      <c r="D89" s="26"/>
      <c r="E89" s="27"/>
      <c r="F89" s="40">
        <f>ROUND(C89/182*0.56,2)</f>
        <v>0.76</v>
      </c>
    </row>
    <row r="90" spans="2:6" ht="13.5" thickBot="1">
      <c r="B90" s="35" t="s">
        <v>19</v>
      </c>
      <c r="C90" s="36">
        <f>ROUND(2225*1650/1000,0)</f>
        <v>3671</v>
      </c>
      <c r="D90" s="29"/>
      <c r="E90" s="30"/>
      <c r="F90" s="41">
        <f>ROUND(C90/183*0.44,2)</f>
        <v>8.83</v>
      </c>
    </row>
    <row r="92" spans="1:2" ht="12.75">
      <c r="A92" s="44" t="s">
        <v>154</v>
      </c>
      <c r="B92" s="72" t="s">
        <v>160</v>
      </c>
    </row>
    <row r="93" ht="12.75">
      <c r="B93" t="s">
        <v>161</v>
      </c>
    </row>
    <row r="94" ht="12.75">
      <c r="B94" s="72" t="s">
        <v>162</v>
      </c>
    </row>
    <row r="95" spans="3:6" ht="13.5" thickBot="1">
      <c r="C95" s="22" t="s">
        <v>133</v>
      </c>
      <c r="F95" s="39" t="s">
        <v>9</v>
      </c>
    </row>
    <row r="96" spans="2:6" ht="12.75">
      <c r="B96" s="33" t="s">
        <v>68</v>
      </c>
      <c r="C96" s="34">
        <f>ROUND(50*1100/1000,0)</f>
        <v>55</v>
      </c>
      <c r="D96" s="26"/>
      <c r="E96" s="27"/>
      <c r="F96" s="40">
        <f>ROUND(C96/182*0.56,2)</f>
        <v>0.17</v>
      </c>
    </row>
    <row r="97" spans="2:6" ht="13.5" thickBot="1">
      <c r="B97" s="35" t="s">
        <v>28</v>
      </c>
      <c r="C97" s="36">
        <f>ROUND(50*1650/1000,0)</f>
        <v>83</v>
      </c>
      <c r="D97" s="29"/>
      <c r="E97" s="30"/>
      <c r="F97" s="41">
        <f>ROUND(C97/183*0.44,2)</f>
        <v>0.2</v>
      </c>
    </row>
    <row r="98" ht="13.5" thickBot="1"/>
    <row r="99" spans="2:6" ht="12.75">
      <c r="B99" s="33" t="s">
        <v>20</v>
      </c>
      <c r="C99" s="34">
        <f>ROUND(80*1100/1000,0)</f>
        <v>88</v>
      </c>
      <c r="D99" s="26"/>
      <c r="E99" s="27"/>
      <c r="F99" s="40">
        <f>ROUND(C99/182*0.56,2)</f>
        <v>0.27</v>
      </c>
    </row>
    <row r="100" spans="2:6" ht="13.5" thickBot="1">
      <c r="B100" s="35" t="s">
        <v>28</v>
      </c>
      <c r="C100" s="36">
        <f>ROUND(80*1650/1000,0)</f>
        <v>132</v>
      </c>
      <c r="D100" s="29"/>
      <c r="E100" s="30"/>
      <c r="F100" s="41">
        <f>ROUND(C100/183*0.44,2)</f>
        <v>0.32</v>
      </c>
    </row>
    <row r="101" ht="13.5" thickBot="1"/>
    <row r="102" spans="2:6" ht="12.75">
      <c r="B102" s="33" t="s">
        <v>21</v>
      </c>
      <c r="C102" s="34">
        <f>ROUND(130*1100/1000,0)</f>
        <v>143</v>
      </c>
      <c r="D102" s="26"/>
      <c r="E102" s="27"/>
      <c r="F102" s="40">
        <f>ROUND(C102/182*0.56,2)</f>
        <v>0.44</v>
      </c>
    </row>
    <row r="103" spans="2:6" ht="13.5" thickBot="1">
      <c r="B103" s="35" t="s">
        <v>28</v>
      </c>
      <c r="C103" s="36">
        <f>ROUND(130*1650/1000,0)</f>
        <v>215</v>
      </c>
      <c r="D103" s="29"/>
      <c r="E103" s="30"/>
      <c r="F103" s="41">
        <f>ROUND(C103/183*0.44,2)</f>
        <v>0.52</v>
      </c>
    </row>
    <row r="104" ht="13.5" thickBot="1"/>
    <row r="105" spans="2:6" ht="12.75">
      <c r="B105" s="33" t="s">
        <v>22</v>
      </c>
      <c r="C105" s="34">
        <f>ROUND(180*1100/1000,0)</f>
        <v>198</v>
      </c>
      <c r="D105" s="26"/>
      <c r="E105" s="27"/>
      <c r="F105" s="40">
        <f>ROUND(C105/182*0.56,2)</f>
        <v>0.61</v>
      </c>
    </row>
    <row r="106" spans="2:6" ht="13.5" thickBot="1">
      <c r="B106" s="35" t="s">
        <v>28</v>
      </c>
      <c r="C106" s="36">
        <f>ROUND(180*1650/1000,0)</f>
        <v>297</v>
      </c>
      <c r="D106" s="29"/>
      <c r="E106" s="30"/>
      <c r="F106" s="41">
        <f>ROUND(C106/183*0.44,2)</f>
        <v>0.71</v>
      </c>
    </row>
    <row r="107" ht="13.5" thickBot="1"/>
    <row r="108" spans="2:6" ht="12.75">
      <c r="B108" s="33" t="s">
        <v>50</v>
      </c>
      <c r="C108" s="34">
        <f>ROUND(210*1100/1000,0)</f>
        <v>231</v>
      </c>
      <c r="D108" s="26"/>
      <c r="E108" s="27"/>
      <c r="F108" s="40">
        <f>ROUND(C108/182*0.56,2)</f>
        <v>0.71</v>
      </c>
    </row>
    <row r="109" spans="2:6" ht="13.5" thickBot="1">
      <c r="B109" s="35" t="s">
        <v>28</v>
      </c>
      <c r="C109" s="36">
        <f>ROUND(210*1650/1000,0)</f>
        <v>347</v>
      </c>
      <c r="D109" s="29"/>
      <c r="E109" s="30"/>
      <c r="F109" s="41">
        <f>ROUND(C109/183*0.44,2)</f>
        <v>0.83</v>
      </c>
    </row>
    <row r="110" ht="13.5" thickBot="1"/>
    <row r="111" spans="2:6" ht="12.75">
      <c r="B111" s="31" t="s">
        <v>23</v>
      </c>
      <c r="C111" s="34">
        <f>ROUND(68*1100/1000,0)</f>
        <v>75</v>
      </c>
      <c r="D111" s="26"/>
      <c r="E111" s="27"/>
      <c r="F111" s="40">
        <f>ROUND(C111/182*0.56,2)</f>
        <v>0.23</v>
      </c>
    </row>
    <row r="112" spans="2:6" ht="13.5" thickBot="1">
      <c r="B112" s="35" t="s">
        <v>28</v>
      </c>
      <c r="C112" s="36">
        <f>ROUND(68*1650/1000,0)</f>
        <v>112</v>
      </c>
      <c r="D112" s="29"/>
      <c r="E112" s="30"/>
      <c r="F112" s="41">
        <f>ROUND(C112/183*0.44,2)</f>
        <v>0.27</v>
      </c>
    </row>
    <row r="113" ht="13.5" thickBot="1"/>
    <row r="114" spans="2:6" ht="12.75">
      <c r="B114" s="31" t="s">
        <v>24</v>
      </c>
      <c r="C114" s="34">
        <f>ROUND(135*1100/1000,0)</f>
        <v>149</v>
      </c>
      <c r="D114" s="26"/>
      <c r="E114" s="27"/>
      <c r="F114" s="40">
        <f>ROUND(C114/182*0.56,2)</f>
        <v>0.46</v>
      </c>
    </row>
    <row r="115" spans="2:6" ht="13.5" thickBot="1">
      <c r="B115" s="35" t="s">
        <v>28</v>
      </c>
      <c r="C115" s="36">
        <f>ROUND(135*1650/1000,0)</f>
        <v>223</v>
      </c>
      <c r="D115" s="29"/>
      <c r="E115" s="30"/>
      <c r="F115" s="41">
        <f>ROUND(C115/183*0.44,2)</f>
        <v>0.54</v>
      </c>
    </row>
    <row r="116" ht="13.5" thickBot="1"/>
    <row r="117" spans="2:6" ht="12.75">
      <c r="B117" s="31" t="s">
        <v>25</v>
      </c>
      <c r="C117" s="34">
        <f>ROUND(150*1100/1000,0)</f>
        <v>165</v>
      </c>
      <c r="D117" s="26"/>
      <c r="E117" s="27"/>
      <c r="F117" s="40">
        <f>ROUND(C117/182*0.56,2)</f>
        <v>0.51</v>
      </c>
    </row>
    <row r="118" spans="2:6" ht="13.5" thickBot="1">
      <c r="B118" s="35" t="s">
        <v>28</v>
      </c>
      <c r="C118" s="36">
        <f>ROUND(150*1650/1000,0)</f>
        <v>248</v>
      </c>
      <c r="D118" s="29"/>
      <c r="E118" s="30"/>
      <c r="F118" s="41">
        <f>ROUND(C118/183*0.44,2)</f>
        <v>0.6</v>
      </c>
    </row>
    <row r="119" ht="13.5" thickBot="1"/>
    <row r="120" spans="2:6" ht="12.75">
      <c r="B120" s="31" t="s">
        <v>26</v>
      </c>
      <c r="C120" s="34">
        <f>ROUND(260*1100/1000,0)</f>
        <v>286</v>
      </c>
      <c r="D120" s="26"/>
      <c r="E120" s="27"/>
      <c r="F120" s="40">
        <f>ROUND(C120/182*0.56,2)</f>
        <v>0.88</v>
      </c>
    </row>
    <row r="121" spans="2:6" ht="13.5" thickBot="1">
      <c r="B121" s="35" t="s">
        <v>28</v>
      </c>
      <c r="C121" s="36">
        <f>ROUND(260*1650/1000,0)</f>
        <v>429</v>
      </c>
      <c r="D121" s="29"/>
      <c r="E121" s="30"/>
      <c r="F121" s="41">
        <f>ROUND(C121/183*0.44,2)</f>
        <v>1.03</v>
      </c>
    </row>
    <row r="122" ht="13.5" thickBot="1"/>
    <row r="123" spans="2:6" ht="12.75">
      <c r="B123" s="70" t="s">
        <v>27</v>
      </c>
      <c r="C123" s="34">
        <f>ROUND(50*1100/1000,0)</f>
        <v>55</v>
      </c>
      <c r="D123" s="26"/>
      <c r="E123" s="27"/>
      <c r="F123" s="40">
        <f>ROUND(C123/182*0.56,2)</f>
        <v>0.17</v>
      </c>
    </row>
    <row r="124" spans="2:6" ht="13.5" thickBot="1">
      <c r="B124" s="35" t="s">
        <v>28</v>
      </c>
      <c r="C124" s="36">
        <f>ROUND(50*1650/1000,0)</f>
        <v>83</v>
      </c>
      <c r="D124" s="29"/>
      <c r="E124" s="30"/>
      <c r="F124" s="41">
        <f>ROUND(C124/183*0.44,2)</f>
        <v>0.2</v>
      </c>
    </row>
    <row r="125" ht="13.5" thickBot="1"/>
    <row r="126" spans="2:6" ht="12.75">
      <c r="B126" s="70" t="s">
        <v>29</v>
      </c>
      <c r="C126" s="34">
        <f>ROUND(85*1100/1000,0)</f>
        <v>94</v>
      </c>
      <c r="D126" s="26"/>
      <c r="E126" s="27"/>
      <c r="F126" s="40">
        <f>ROUND(C126/182*0.56,2)</f>
        <v>0.29</v>
      </c>
    </row>
    <row r="127" spans="2:6" ht="13.5" thickBot="1">
      <c r="B127" s="35" t="s">
        <v>28</v>
      </c>
      <c r="C127" s="36">
        <f>ROUND(85*1650/1000,0)</f>
        <v>140</v>
      </c>
      <c r="D127" s="29"/>
      <c r="E127" s="30"/>
      <c r="F127" s="41">
        <f>ROUND(C127/183*0.44,2)</f>
        <v>0.34</v>
      </c>
    </row>
    <row r="128" ht="13.5" thickBot="1"/>
    <row r="129" spans="2:6" ht="12.75">
      <c r="B129" s="70" t="s">
        <v>30</v>
      </c>
      <c r="C129" s="34">
        <f>ROUND(165*1100/1000,0)</f>
        <v>182</v>
      </c>
      <c r="D129" s="26"/>
      <c r="E129" s="27"/>
      <c r="F129" s="40">
        <f>ROUND(C129/182*0.56,2)</f>
        <v>0.56</v>
      </c>
    </row>
    <row r="130" spans="2:6" ht="13.5" thickBot="1">
      <c r="B130" s="35" t="s">
        <v>28</v>
      </c>
      <c r="C130" s="36">
        <f>ROUND(165*1650/1000,0)</f>
        <v>272</v>
      </c>
      <c r="D130" s="29"/>
      <c r="E130" s="30"/>
      <c r="F130" s="41">
        <f>ROUND(C130/183*0.44,2)</f>
        <v>0.65</v>
      </c>
    </row>
    <row r="131" ht="13.5" thickBot="1"/>
    <row r="132" spans="2:6" ht="12.75">
      <c r="B132" s="70" t="s">
        <v>31</v>
      </c>
      <c r="C132" s="34">
        <f>ROUND(165*1100/1000,0)</f>
        <v>182</v>
      </c>
      <c r="D132" s="26"/>
      <c r="E132" s="27"/>
      <c r="F132" s="40">
        <f>ROUND(C132/182*0.56,2)</f>
        <v>0.56</v>
      </c>
    </row>
    <row r="133" spans="2:6" ht="13.5" thickBot="1">
      <c r="B133" s="35" t="s">
        <v>28</v>
      </c>
      <c r="C133" s="36">
        <f>ROUND(165*1650/1000,0)</f>
        <v>272</v>
      </c>
      <c r="D133" s="29"/>
      <c r="E133" s="30"/>
      <c r="F133" s="41">
        <f>ROUND(C133/183*0.44,2)</f>
        <v>0.65</v>
      </c>
    </row>
    <row r="134" ht="13.5" thickBot="1"/>
    <row r="135" spans="2:6" ht="12.75">
      <c r="B135" s="70" t="s">
        <v>49</v>
      </c>
      <c r="C135" s="34">
        <f>ROUND(235*1100/1000,0)</f>
        <v>259</v>
      </c>
      <c r="D135" s="26"/>
      <c r="E135" s="27"/>
      <c r="F135" s="40">
        <f>ROUND(C135/182*0.56,2)</f>
        <v>0.8</v>
      </c>
    </row>
    <row r="136" spans="2:6" ht="13.5" thickBot="1">
      <c r="B136" s="35" t="s">
        <v>28</v>
      </c>
      <c r="C136" s="36">
        <f>ROUND(235*1650/1000,0)</f>
        <v>388</v>
      </c>
      <c r="D136" s="29"/>
      <c r="E136" s="30"/>
      <c r="F136" s="41">
        <f>ROUND(C136/183*0.44,2)</f>
        <v>0.93</v>
      </c>
    </row>
    <row r="137" ht="13.5" thickBot="1"/>
    <row r="138" spans="2:6" ht="12.75">
      <c r="B138" s="71" t="s">
        <v>32</v>
      </c>
      <c r="C138" s="34">
        <f>ROUND(150*1100/1000,0)</f>
        <v>165</v>
      </c>
      <c r="D138" s="26"/>
      <c r="E138" s="27"/>
      <c r="F138" s="40">
        <f>ROUND(C138/182*0.56,2)</f>
        <v>0.51</v>
      </c>
    </row>
    <row r="139" spans="2:6" ht="13.5" thickBot="1">
      <c r="B139" s="35" t="s">
        <v>28</v>
      </c>
      <c r="C139" s="36">
        <f>ROUND(150*1650/1000,0)</f>
        <v>248</v>
      </c>
      <c r="D139" s="29"/>
      <c r="E139" s="30"/>
      <c r="F139" s="41">
        <f>ROUND(C139/183*0.44,2)</f>
        <v>0.6</v>
      </c>
    </row>
    <row r="140" ht="13.5" thickBot="1"/>
    <row r="141" spans="2:6" ht="12.75">
      <c r="B141" s="71" t="s">
        <v>33</v>
      </c>
      <c r="C141" s="34">
        <f>ROUND(180*1100/1000,0)</f>
        <v>198</v>
      </c>
      <c r="D141" s="26"/>
      <c r="E141" s="27"/>
      <c r="F141" s="40">
        <f>ROUND(C141/182*0.56,2)</f>
        <v>0.61</v>
      </c>
    </row>
    <row r="142" spans="2:6" ht="13.5" thickBot="1">
      <c r="B142" s="35" t="s">
        <v>28</v>
      </c>
      <c r="C142" s="36">
        <f>ROUND(180*1650/1000,0)</f>
        <v>297</v>
      </c>
      <c r="D142" s="29"/>
      <c r="E142" s="30"/>
      <c r="F142" s="41">
        <f>ROUND(C142/183*0.44,2)</f>
        <v>0.71</v>
      </c>
    </row>
    <row r="143" ht="13.5" thickBot="1"/>
    <row r="144" spans="2:6" ht="12.75">
      <c r="B144" s="71" t="s">
        <v>51</v>
      </c>
      <c r="C144" s="34">
        <f>ROUND(225*1100/1000,0)</f>
        <v>248</v>
      </c>
      <c r="D144" s="26"/>
      <c r="E144" s="27"/>
      <c r="F144" s="40">
        <f>ROUND(C144/182*0.56,2)</f>
        <v>0.76</v>
      </c>
    </row>
    <row r="145" spans="2:6" ht="13.5" thickBot="1">
      <c r="B145" s="35" t="s">
        <v>28</v>
      </c>
      <c r="C145" s="36">
        <f>ROUND(225*1650/1000,0)</f>
        <v>371</v>
      </c>
      <c r="D145" s="29"/>
      <c r="E145" s="30"/>
      <c r="F145" s="41">
        <f>ROUND(C145/183*0.44,2)</f>
        <v>0.89</v>
      </c>
    </row>
    <row r="199" spans="1:6" ht="12.75">
      <c r="A199" s="83" t="s">
        <v>229</v>
      </c>
      <c r="B199" s="83"/>
      <c r="C199" s="83"/>
      <c r="D199" s="83"/>
      <c r="E199" s="83"/>
      <c r="F199" s="84"/>
    </row>
    <row r="200" spans="1:2" ht="12.75">
      <c r="A200" s="44" t="s">
        <v>151</v>
      </c>
      <c r="B200" t="s">
        <v>149</v>
      </c>
    </row>
    <row r="201" ht="12.75">
      <c r="B201" t="s">
        <v>157</v>
      </c>
    </row>
    <row r="202" spans="2:6" ht="12.75">
      <c r="B202" t="s">
        <v>159</v>
      </c>
      <c r="C202" s="1"/>
      <c r="D202" s="1"/>
      <c r="E202" s="1"/>
      <c r="F202" s="38"/>
    </row>
    <row r="203" spans="2:6" ht="12.75">
      <c r="B203" t="s">
        <v>166</v>
      </c>
      <c r="C203" s="1"/>
      <c r="D203" s="1"/>
      <c r="E203" s="1"/>
      <c r="F203" s="38"/>
    </row>
    <row r="204" spans="3:6" ht="13.5" thickBot="1">
      <c r="C204" s="22" t="s">
        <v>133</v>
      </c>
      <c r="F204" s="39" t="s">
        <v>9</v>
      </c>
    </row>
    <row r="205" spans="2:6" ht="12.75">
      <c r="B205" s="25" t="s">
        <v>52</v>
      </c>
      <c r="C205" s="26">
        <v>628</v>
      </c>
      <c r="D205" s="27"/>
      <c r="E205" s="27"/>
      <c r="F205" s="40">
        <f>ROUND(C205/182*0.7,2)</f>
        <v>2.42</v>
      </c>
    </row>
    <row r="206" spans="2:6" ht="13.5" thickBot="1">
      <c r="B206" s="28" t="s">
        <v>53</v>
      </c>
      <c r="C206" s="29">
        <v>3442</v>
      </c>
      <c r="D206" s="30"/>
      <c r="E206" s="30"/>
      <c r="F206" s="41">
        <f>ROUND(C206/183*0.3,2)</f>
        <v>5.64</v>
      </c>
    </row>
    <row r="207" spans="2:6" ht="13.5" thickBot="1">
      <c r="B207" s="24"/>
      <c r="C207" s="9"/>
      <c r="D207" s="24"/>
      <c r="E207" s="24"/>
      <c r="F207" s="42"/>
    </row>
    <row r="208" spans="2:6" ht="12.75">
      <c r="B208" s="25" t="s">
        <v>54</v>
      </c>
      <c r="C208" s="26">
        <v>837</v>
      </c>
      <c r="D208" s="27"/>
      <c r="E208" s="27"/>
      <c r="F208" s="40">
        <f>ROUND(C208/182*0.7,2)</f>
        <v>3.22</v>
      </c>
    </row>
    <row r="209" spans="2:6" ht="13.5" thickBot="1">
      <c r="B209" s="28" t="s">
        <v>55</v>
      </c>
      <c r="C209" s="29">
        <v>4425</v>
      </c>
      <c r="D209" s="30"/>
      <c r="E209" s="30"/>
      <c r="F209" s="41">
        <f>ROUND(C209/183*0.3,2)</f>
        <v>7.25</v>
      </c>
    </row>
    <row r="210" spans="2:6" ht="13.5" thickBot="1">
      <c r="B210" s="24"/>
      <c r="C210" s="9"/>
      <c r="D210" s="24"/>
      <c r="E210" s="24"/>
      <c r="F210" s="42"/>
    </row>
    <row r="211" spans="2:6" ht="12.75">
      <c r="B211" s="25" t="s">
        <v>56</v>
      </c>
      <c r="C211" s="26">
        <v>1183</v>
      </c>
      <c r="D211" s="27"/>
      <c r="E211" s="27"/>
      <c r="F211" s="40">
        <f>ROUND(C211/182*0.7,2)</f>
        <v>4.55</v>
      </c>
    </row>
    <row r="212" spans="2:6" ht="13.5" thickBot="1">
      <c r="B212" s="28" t="s">
        <v>57</v>
      </c>
      <c r="C212" s="29">
        <v>5958</v>
      </c>
      <c r="D212" s="30"/>
      <c r="E212" s="30"/>
      <c r="F212" s="41">
        <f>ROUND(C212/183*0.3,2)</f>
        <v>9.77</v>
      </c>
    </row>
    <row r="213" spans="2:6" ht="13.5" thickBot="1">
      <c r="B213" s="24"/>
      <c r="C213" s="9"/>
      <c r="D213" s="24"/>
      <c r="E213" s="24"/>
      <c r="F213" s="42"/>
    </row>
    <row r="214" spans="2:6" ht="12.75">
      <c r="B214" s="25" t="s">
        <v>58</v>
      </c>
      <c r="C214" s="26">
        <v>1535</v>
      </c>
      <c r="D214" s="27"/>
      <c r="E214" s="27"/>
      <c r="F214" s="40">
        <f>ROUND(C214/182*0.7,2)</f>
        <v>5.9</v>
      </c>
    </row>
    <row r="215" spans="2:6" ht="13.5" thickBot="1">
      <c r="B215" s="28" t="s">
        <v>59</v>
      </c>
      <c r="C215" s="29">
        <v>7265</v>
      </c>
      <c r="D215" s="30"/>
      <c r="E215" s="30"/>
      <c r="F215" s="41">
        <f>ROUND(C215/183*0.3,2)</f>
        <v>11.91</v>
      </c>
    </row>
    <row r="216" spans="2:6" ht="12.75">
      <c r="B216" s="24"/>
      <c r="C216" s="23"/>
      <c r="D216" s="14"/>
      <c r="E216" s="14"/>
      <c r="F216" s="38"/>
    </row>
    <row r="217" spans="1:6" ht="12.75">
      <c r="A217" s="44" t="s">
        <v>150</v>
      </c>
      <c r="B217" t="s">
        <v>152</v>
      </c>
      <c r="C217" s="23"/>
      <c r="D217" s="14"/>
      <c r="E217" s="14"/>
      <c r="F217" s="38"/>
    </row>
    <row r="218" spans="2:6" ht="12.75">
      <c r="B218" t="s">
        <v>157</v>
      </c>
      <c r="C218" s="23"/>
      <c r="D218" s="14"/>
      <c r="E218" s="14"/>
      <c r="F218" s="38"/>
    </row>
    <row r="219" spans="2:6" ht="12.75">
      <c r="B219" t="s">
        <v>159</v>
      </c>
      <c r="C219" s="23"/>
      <c r="D219" s="14"/>
      <c r="E219" s="14"/>
      <c r="F219" s="38"/>
    </row>
    <row r="220" spans="2:6" ht="12.75">
      <c r="B220" t="s">
        <v>158</v>
      </c>
      <c r="C220" s="23"/>
      <c r="D220" s="14"/>
      <c r="E220" s="14"/>
      <c r="F220" s="38"/>
    </row>
    <row r="221" spans="2:6" ht="13.5" thickBot="1">
      <c r="B221" s="24"/>
      <c r="C221" s="22" t="s">
        <v>133</v>
      </c>
      <c r="F221" s="39" t="s">
        <v>9</v>
      </c>
    </row>
    <row r="222" spans="2:6" ht="12.75">
      <c r="B222" s="31" t="s">
        <v>60</v>
      </c>
      <c r="C222" s="26">
        <v>628</v>
      </c>
      <c r="D222" s="27"/>
      <c r="E222" s="27"/>
      <c r="F222" s="40">
        <f>ROUND(C222/182*0.7,2)</f>
        <v>2.42</v>
      </c>
    </row>
    <row r="223" spans="2:6" ht="13.5" thickBot="1">
      <c r="B223" s="32" t="s">
        <v>61</v>
      </c>
      <c r="C223" s="29">
        <v>2504</v>
      </c>
      <c r="D223" s="30"/>
      <c r="E223" s="30"/>
      <c r="F223" s="41">
        <f>ROUND(C223/183*0.3,2)</f>
        <v>4.1</v>
      </c>
    </row>
    <row r="224" spans="2:6" ht="13.5" thickBot="1">
      <c r="B224" s="24"/>
      <c r="C224" s="9"/>
      <c r="D224" s="24"/>
      <c r="E224" s="24"/>
      <c r="F224" s="42"/>
    </row>
    <row r="225" spans="2:6" ht="12.75">
      <c r="B225" s="31" t="s">
        <v>62</v>
      </c>
      <c r="C225" s="26">
        <v>837</v>
      </c>
      <c r="D225" s="27"/>
      <c r="E225" s="27"/>
      <c r="F225" s="40">
        <f>ROUND(C225/182*0.7,2)</f>
        <v>3.22</v>
      </c>
    </row>
    <row r="226" spans="2:6" ht="13.5" thickBot="1">
      <c r="B226" s="32" t="s">
        <v>63</v>
      </c>
      <c r="C226" s="29">
        <v>3220</v>
      </c>
      <c r="D226" s="30"/>
      <c r="E226" s="30"/>
      <c r="F226" s="41">
        <f>ROUND(C226/183*0.3,2)</f>
        <v>5.28</v>
      </c>
    </row>
    <row r="227" spans="2:6" ht="13.5" thickBot="1">
      <c r="B227" s="24"/>
      <c r="C227" s="9"/>
      <c r="D227" s="24"/>
      <c r="E227" s="24"/>
      <c r="F227" s="42"/>
    </row>
    <row r="228" spans="2:6" ht="12.75">
      <c r="B228" s="31" t="s">
        <v>64</v>
      </c>
      <c r="C228" s="26">
        <v>1183</v>
      </c>
      <c r="D228" s="27"/>
      <c r="E228" s="27"/>
      <c r="F228" s="40">
        <f>ROUND(C228/182*0.7,2)</f>
        <v>4.55</v>
      </c>
    </row>
    <row r="229" spans="2:6" ht="13.5" thickBot="1">
      <c r="B229" s="32" t="s">
        <v>65</v>
      </c>
      <c r="C229" s="29">
        <v>4353</v>
      </c>
      <c r="D229" s="30"/>
      <c r="E229" s="30"/>
      <c r="F229" s="41">
        <f>ROUND(C229/183*0.3,2)</f>
        <v>7.14</v>
      </c>
    </row>
    <row r="230" spans="2:6" ht="13.5" thickBot="1">
      <c r="B230" s="24"/>
      <c r="C230" s="9"/>
      <c r="D230" s="24"/>
      <c r="E230" s="24"/>
      <c r="F230" s="42"/>
    </row>
    <row r="231" spans="2:6" ht="12.75">
      <c r="B231" s="31" t="s">
        <v>66</v>
      </c>
      <c r="C231" s="26">
        <v>1535</v>
      </c>
      <c r="D231" s="27"/>
      <c r="E231" s="27"/>
      <c r="F231" s="40">
        <f>ROUND(C231/182*0.7,2)</f>
        <v>5.9</v>
      </c>
    </row>
    <row r="232" spans="2:6" ht="13.5" thickBot="1">
      <c r="B232" s="32" t="s">
        <v>67</v>
      </c>
      <c r="C232" s="29">
        <v>5331</v>
      </c>
      <c r="D232" s="30"/>
      <c r="E232" s="30"/>
      <c r="F232" s="41">
        <f>ROUND(C232/183*0.3,2)</f>
        <v>8.74</v>
      </c>
    </row>
    <row r="233" spans="2:6" ht="12.75">
      <c r="B233" s="14"/>
      <c r="C233" s="9"/>
      <c r="D233" s="9"/>
      <c r="E233" s="9"/>
      <c r="F233" s="42"/>
    </row>
    <row r="234" spans="1:6" ht="12.75">
      <c r="A234" s="44" t="s">
        <v>153</v>
      </c>
      <c r="B234" s="72" t="s">
        <v>155</v>
      </c>
      <c r="C234" s="9"/>
      <c r="D234" s="9"/>
      <c r="E234" s="9"/>
      <c r="F234" s="42"/>
    </row>
    <row r="235" spans="2:6" ht="12.75">
      <c r="B235" t="s">
        <v>156</v>
      </c>
      <c r="C235" s="9"/>
      <c r="D235" s="9"/>
      <c r="E235" s="9"/>
      <c r="F235" s="42"/>
    </row>
    <row r="236" spans="2:6" ht="12.75">
      <c r="B236" s="72" t="s">
        <v>167</v>
      </c>
      <c r="C236" s="9"/>
      <c r="D236" s="9"/>
      <c r="E236" s="9"/>
      <c r="F236" s="42"/>
    </row>
    <row r="237" spans="2:6" ht="13.5" thickBot="1">
      <c r="B237" s="14"/>
      <c r="C237" s="22" t="s">
        <v>133</v>
      </c>
      <c r="F237" s="39" t="s">
        <v>9</v>
      </c>
    </row>
    <row r="238" spans="2:6" ht="12.75">
      <c r="B238" s="33" t="s">
        <v>68</v>
      </c>
      <c r="C238" s="34">
        <f>ROUND(50*1100/1000,0)</f>
        <v>55</v>
      </c>
      <c r="D238" s="26"/>
      <c r="E238" s="27"/>
      <c r="F238" s="40">
        <f>ROUND(C238/182*0.7,2)</f>
        <v>0.21</v>
      </c>
    </row>
    <row r="239" spans="2:6" ht="13.5" thickBot="1">
      <c r="B239" s="35" t="s">
        <v>19</v>
      </c>
      <c r="C239" s="36">
        <f>ROUND(2050*1650/1000,0)</f>
        <v>3383</v>
      </c>
      <c r="D239" s="29"/>
      <c r="E239" s="30"/>
      <c r="F239" s="41">
        <f>ROUND(C239/183*0.3,2)</f>
        <v>5.55</v>
      </c>
    </row>
    <row r="240" spans="2:6" ht="13.5" thickBot="1">
      <c r="B240" s="24"/>
      <c r="C240" s="9"/>
      <c r="D240" s="24"/>
      <c r="E240" s="24"/>
      <c r="F240" s="42"/>
    </row>
    <row r="241" spans="2:6" ht="12.75">
      <c r="B241" s="33" t="s">
        <v>20</v>
      </c>
      <c r="C241" s="34">
        <f>ROUND(80*1100/1000,0)</f>
        <v>88</v>
      </c>
      <c r="D241" s="26"/>
      <c r="E241" s="27"/>
      <c r="F241" s="40">
        <f>ROUND(C241/182*0.7,2)</f>
        <v>0.34</v>
      </c>
    </row>
    <row r="242" spans="2:6" ht="13.5" thickBot="1">
      <c r="B242" s="35" t="s">
        <v>19</v>
      </c>
      <c r="C242" s="36">
        <f>ROUND(2080*1650/1000,0)</f>
        <v>3432</v>
      </c>
      <c r="D242" s="29"/>
      <c r="E242" s="30"/>
      <c r="F242" s="41">
        <f>ROUND(C242/183*0.3,2)</f>
        <v>5.63</v>
      </c>
    </row>
    <row r="243" spans="2:6" ht="13.5" thickBot="1">
      <c r="B243" s="24"/>
      <c r="C243" s="9"/>
      <c r="D243" s="24"/>
      <c r="E243" s="24"/>
      <c r="F243" s="42"/>
    </row>
    <row r="244" spans="2:6" ht="12.75">
      <c r="B244" s="33" t="s">
        <v>21</v>
      </c>
      <c r="C244" s="34">
        <f>ROUND(130*1100/1000,0)</f>
        <v>143</v>
      </c>
      <c r="D244" s="26"/>
      <c r="E244" s="27"/>
      <c r="F244" s="40">
        <f>ROUND(C244/182*0.7,2)</f>
        <v>0.55</v>
      </c>
    </row>
    <row r="245" spans="2:6" ht="13.5" thickBot="1">
      <c r="B245" s="35" t="s">
        <v>19</v>
      </c>
      <c r="C245" s="36">
        <f>ROUND(2130*1650/1000,0)</f>
        <v>3515</v>
      </c>
      <c r="D245" s="29"/>
      <c r="E245" s="30"/>
      <c r="F245" s="41">
        <f>ROUND(C245/183*0.3,2)</f>
        <v>5.76</v>
      </c>
    </row>
    <row r="246" spans="2:6" ht="13.5" thickBot="1">
      <c r="B246" s="24"/>
      <c r="C246" s="9"/>
      <c r="D246" s="24"/>
      <c r="E246" s="24"/>
      <c r="F246" s="42"/>
    </row>
    <row r="247" spans="2:6" ht="12.75">
      <c r="B247" s="33" t="s">
        <v>22</v>
      </c>
      <c r="C247" s="34">
        <f>ROUND(180*1100/1000,0)</f>
        <v>198</v>
      </c>
      <c r="D247" s="26"/>
      <c r="E247" s="27"/>
      <c r="F247" s="40">
        <f>ROUND(C247/182*0.7,2)</f>
        <v>0.76</v>
      </c>
    </row>
    <row r="248" spans="2:6" ht="13.5" thickBot="1">
      <c r="B248" s="35" t="s">
        <v>19</v>
      </c>
      <c r="C248" s="36">
        <f>ROUND(2180*1650/1000,0)</f>
        <v>3597</v>
      </c>
      <c r="D248" s="29"/>
      <c r="E248" s="30"/>
      <c r="F248" s="41">
        <f>ROUND(C248/183*0.3,2)</f>
        <v>5.9</v>
      </c>
    </row>
    <row r="249" spans="2:6" ht="13.5" thickBot="1">
      <c r="B249" s="24"/>
      <c r="C249" s="9"/>
      <c r="D249" s="24"/>
      <c r="E249" s="24"/>
      <c r="F249" s="42"/>
    </row>
    <row r="250" spans="2:6" ht="12.75">
      <c r="B250" s="33" t="s">
        <v>50</v>
      </c>
      <c r="C250" s="34">
        <f>ROUND(210*1100/1000,0)</f>
        <v>231</v>
      </c>
      <c r="D250" s="26"/>
      <c r="E250" s="27"/>
      <c r="F250" s="40">
        <f>ROUND(C250/182*0.7,2)</f>
        <v>0.89</v>
      </c>
    </row>
    <row r="251" spans="2:6" ht="13.5" thickBot="1">
      <c r="B251" s="35" t="s">
        <v>19</v>
      </c>
      <c r="C251" s="36">
        <f>ROUND(2210*1650/1000,0)</f>
        <v>3647</v>
      </c>
      <c r="D251" s="29"/>
      <c r="E251" s="30"/>
      <c r="F251" s="41">
        <f>ROUND(C251/183*0.3,2)</f>
        <v>5.98</v>
      </c>
    </row>
    <row r="252" spans="2:6" ht="13.5" thickBot="1">
      <c r="B252" s="24"/>
      <c r="C252" s="9"/>
      <c r="D252" s="24"/>
      <c r="E252" s="24"/>
      <c r="F252" s="42"/>
    </row>
    <row r="253" spans="2:6" ht="12.75">
      <c r="B253" s="31" t="s">
        <v>23</v>
      </c>
      <c r="C253" s="34">
        <f>ROUND(68*1100/1000,0)</f>
        <v>75</v>
      </c>
      <c r="D253" s="26"/>
      <c r="E253" s="27"/>
      <c r="F253" s="40">
        <f>ROUND(C253/182*0.7,2)</f>
        <v>0.29</v>
      </c>
    </row>
    <row r="254" spans="2:6" ht="13.5" thickBot="1">
      <c r="B254" s="35" t="s">
        <v>19</v>
      </c>
      <c r="C254" s="36">
        <f>ROUND(2068*1650/1000,0)</f>
        <v>3412</v>
      </c>
      <c r="D254" s="29"/>
      <c r="E254" s="30"/>
      <c r="F254" s="41">
        <f>ROUND(C254/183*0.3,2)</f>
        <v>5.59</v>
      </c>
    </row>
    <row r="255" spans="2:6" ht="13.5" thickBot="1">
      <c r="B255" s="24"/>
      <c r="C255" s="9"/>
      <c r="D255" s="24"/>
      <c r="E255" s="24"/>
      <c r="F255" s="42"/>
    </row>
    <row r="256" spans="2:6" ht="12.75">
      <c r="B256" s="31" t="s">
        <v>24</v>
      </c>
      <c r="C256" s="34">
        <f>ROUND(135*1100/1000,0)</f>
        <v>149</v>
      </c>
      <c r="D256" s="26"/>
      <c r="E256" s="27"/>
      <c r="F256" s="40">
        <f>ROUND(C256/182*0.7,2)</f>
        <v>0.57</v>
      </c>
    </row>
    <row r="257" spans="2:6" ht="13.5" thickBot="1">
      <c r="B257" s="35" t="s">
        <v>19</v>
      </c>
      <c r="C257" s="36">
        <f>ROUND(2135*1650/1000,0)</f>
        <v>3523</v>
      </c>
      <c r="D257" s="29"/>
      <c r="E257" s="30"/>
      <c r="F257" s="41">
        <f>ROUND(C257/183*0.3,2)</f>
        <v>5.78</v>
      </c>
    </row>
    <row r="258" spans="2:6" ht="13.5" thickBot="1">
      <c r="B258" s="24"/>
      <c r="C258" s="9"/>
      <c r="D258" s="24"/>
      <c r="E258" s="24"/>
      <c r="F258" s="42"/>
    </row>
    <row r="259" spans="2:6" ht="12.75">
      <c r="B259" s="31" t="s">
        <v>25</v>
      </c>
      <c r="C259" s="34">
        <f>ROUND(150*1100/1000,0)</f>
        <v>165</v>
      </c>
      <c r="D259" s="26"/>
      <c r="E259" s="27"/>
      <c r="F259" s="40">
        <f>ROUND(C259/182*0.7,2)</f>
        <v>0.63</v>
      </c>
    </row>
    <row r="260" spans="2:6" ht="13.5" thickBot="1">
      <c r="B260" s="35" t="s">
        <v>19</v>
      </c>
      <c r="C260" s="36">
        <f>ROUND(2150*1650/1000,0)</f>
        <v>3548</v>
      </c>
      <c r="D260" s="29"/>
      <c r="E260" s="30"/>
      <c r="F260" s="41">
        <f>ROUND(C260/183*0.3,2)</f>
        <v>5.82</v>
      </c>
    </row>
    <row r="261" spans="2:6" ht="13.5" thickBot="1">
      <c r="B261" s="24"/>
      <c r="C261" s="9"/>
      <c r="D261" s="24"/>
      <c r="E261" s="24"/>
      <c r="F261" s="42"/>
    </row>
    <row r="262" spans="2:6" ht="12.75">
      <c r="B262" s="31" t="s">
        <v>26</v>
      </c>
      <c r="C262" s="34">
        <f>ROUND(260*1100/1000,0)</f>
        <v>286</v>
      </c>
      <c r="D262" s="26"/>
      <c r="E262" s="27"/>
      <c r="F262" s="40">
        <f>ROUND(C262/182*0.7,2)</f>
        <v>1.1</v>
      </c>
    </row>
    <row r="263" spans="2:6" ht="13.5" thickBot="1">
      <c r="B263" s="35" t="s">
        <v>19</v>
      </c>
      <c r="C263" s="36">
        <f>ROUND(2260*1650/1000,0)</f>
        <v>3729</v>
      </c>
      <c r="D263" s="29"/>
      <c r="E263" s="30"/>
      <c r="F263" s="41">
        <f>ROUND(C263/183*0.3,2)</f>
        <v>6.11</v>
      </c>
    </row>
    <row r="264" spans="2:6" ht="13.5" thickBot="1">
      <c r="B264" s="24"/>
      <c r="C264" s="9"/>
      <c r="D264" s="24"/>
      <c r="E264" s="24"/>
      <c r="F264" s="42"/>
    </row>
    <row r="265" spans="2:6" ht="12.75">
      <c r="B265" s="70" t="s">
        <v>27</v>
      </c>
      <c r="C265" s="34">
        <f>ROUND(50*1100/1000,0)</f>
        <v>55</v>
      </c>
      <c r="D265" s="26"/>
      <c r="E265" s="27"/>
      <c r="F265" s="40">
        <f>ROUND(C265/182*0.7,2)</f>
        <v>0.21</v>
      </c>
    </row>
    <row r="266" spans="2:6" ht="13.5" thickBot="1">
      <c r="B266" s="35" t="s">
        <v>19</v>
      </c>
      <c r="C266" s="36">
        <f>ROUND(2050*1650/1000,0)</f>
        <v>3383</v>
      </c>
      <c r="D266" s="29"/>
      <c r="E266" s="30"/>
      <c r="F266" s="41">
        <f>ROUND(C266/183*0.3,2)</f>
        <v>5.55</v>
      </c>
    </row>
    <row r="267" spans="2:6" ht="13.5" thickBot="1">
      <c r="B267" s="24"/>
      <c r="C267" s="9"/>
      <c r="D267" s="24"/>
      <c r="E267" s="24"/>
      <c r="F267" s="42"/>
    </row>
    <row r="268" spans="2:6" ht="12.75">
      <c r="B268" s="70" t="s">
        <v>29</v>
      </c>
      <c r="C268" s="34">
        <f>ROUND(85*1100/1000,0)</f>
        <v>94</v>
      </c>
      <c r="D268" s="26"/>
      <c r="E268" s="27"/>
      <c r="F268" s="40">
        <f>ROUND(C268/182*0.7,2)</f>
        <v>0.36</v>
      </c>
    </row>
    <row r="269" spans="2:6" ht="13.5" thickBot="1">
      <c r="B269" s="35" t="s">
        <v>19</v>
      </c>
      <c r="C269" s="36">
        <f>ROUND(2085*1650/1000,0)</f>
        <v>3440</v>
      </c>
      <c r="D269" s="29"/>
      <c r="E269" s="30"/>
      <c r="F269" s="41">
        <f>ROUND(C269/183*0.3,2)</f>
        <v>5.64</v>
      </c>
    </row>
    <row r="270" spans="2:6" ht="13.5" thickBot="1">
      <c r="B270" s="24"/>
      <c r="C270" s="9"/>
      <c r="D270" s="24"/>
      <c r="E270" s="24"/>
      <c r="F270" s="42"/>
    </row>
    <row r="271" spans="2:6" ht="12.75">
      <c r="B271" s="70" t="s">
        <v>30</v>
      </c>
      <c r="C271" s="34">
        <f>ROUND(165*1100/1000,0)</f>
        <v>182</v>
      </c>
      <c r="D271" s="26"/>
      <c r="E271" s="27"/>
      <c r="F271" s="40">
        <f>ROUND(C271/182*0.7,2)</f>
        <v>0.7</v>
      </c>
    </row>
    <row r="272" spans="2:6" ht="13.5" thickBot="1">
      <c r="B272" s="35" t="s">
        <v>19</v>
      </c>
      <c r="C272" s="36">
        <f>ROUND(2165*1650/1000,0)</f>
        <v>3572</v>
      </c>
      <c r="D272" s="29"/>
      <c r="E272" s="30"/>
      <c r="F272" s="41">
        <f>ROUND(C272/183*0.3,2)</f>
        <v>5.86</v>
      </c>
    </row>
    <row r="273" spans="2:6" ht="13.5" thickBot="1">
      <c r="B273" s="24"/>
      <c r="C273" s="9"/>
      <c r="D273" s="24"/>
      <c r="E273" s="24"/>
      <c r="F273" s="42"/>
    </row>
    <row r="274" spans="2:6" ht="12.75">
      <c r="B274" s="70" t="s">
        <v>31</v>
      </c>
      <c r="C274" s="34">
        <f>ROUND(165*1100/1000,0)</f>
        <v>182</v>
      </c>
      <c r="D274" s="26"/>
      <c r="E274" s="27"/>
      <c r="F274" s="40">
        <f>ROUND(C274/182*0.7,2)</f>
        <v>0.7</v>
      </c>
    </row>
    <row r="275" spans="2:6" ht="13.5" thickBot="1">
      <c r="B275" s="35" t="s">
        <v>19</v>
      </c>
      <c r="C275" s="36">
        <f>ROUND(2165*1650/1000,0)</f>
        <v>3572</v>
      </c>
      <c r="D275" s="29"/>
      <c r="E275" s="30"/>
      <c r="F275" s="41">
        <f>ROUND(C275/183*0.3,2)</f>
        <v>5.86</v>
      </c>
    </row>
    <row r="276" spans="2:6" ht="13.5" thickBot="1">
      <c r="B276" s="24"/>
      <c r="C276" s="9"/>
      <c r="D276" s="24"/>
      <c r="E276" s="24"/>
      <c r="F276" s="42"/>
    </row>
    <row r="277" spans="2:6" ht="12.75">
      <c r="B277" s="70" t="s">
        <v>49</v>
      </c>
      <c r="C277" s="34">
        <f>ROUND(235*1100/1000,0)</f>
        <v>259</v>
      </c>
      <c r="D277" s="26"/>
      <c r="E277" s="27"/>
      <c r="F277" s="40">
        <f>ROUND(C277/182*0.7,2)</f>
        <v>1</v>
      </c>
    </row>
    <row r="278" spans="2:6" ht="13.5" thickBot="1">
      <c r="B278" s="35" t="s">
        <v>19</v>
      </c>
      <c r="C278" s="36">
        <f>ROUND(2235*1650/1000,0)</f>
        <v>3688</v>
      </c>
      <c r="D278" s="29"/>
      <c r="E278" s="30"/>
      <c r="F278" s="41">
        <f>ROUND(C278/183*0.3,2)</f>
        <v>6.05</v>
      </c>
    </row>
    <row r="279" spans="2:6" ht="13.5" thickBot="1">
      <c r="B279" s="24"/>
      <c r="C279" s="9"/>
      <c r="D279" s="24"/>
      <c r="E279" s="24"/>
      <c r="F279" s="42"/>
    </row>
    <row r="280" spans="2:6" ht="12.75">
      <c r="B280" s="71" t="s">
        <v>32</v>
      </c>
      <c r="C280" s="34">
        <f>ROUND(150*1100/1000,0)</f>
        <v>165</v>
      </c>
      <c r="D280" s="26"/>
      <c r="E280" s="27"/>
      <c r="F280" s="40">
        <f>ROUND(C280/182*0.7,2)</f>
        <v>0.63</v>
      </c>
    </row>
    <row r="281" spans="2:6" ht="13.5" thickBot="1">
      <c r="B281" s="35" t="s">
        <v>19</v>
      </c>
      <c r="C281" s="36">
        <f>ROUND(2150*1650/1000,0)</f>
        <v>3548</v>
      </c>
      <c r="D281" s="29"/>
      <c r="E281" s="30"/>
      <c r="F281" s="41">
        <f>ROUND(C281/183*0.3,2)</f>
        <v>5.82</v>
      </c>
    </row>
    <row r="282" spans="2:6" ht="13.5" thickBot="1">
      <c r="B282" s="24"/>
      <c r="C282" s="9"/>
      <c r="D282" s="24"/>
      <c r="E282" s="24"/>
      <c r="F282" s="42"/>
    </row>
    <row r="283" spans="2:6" ht="12.75">
      <c r="B283" s="71" t="s">
        <v>33</v>
      </c>
      <c r="C283" s="34">
        <f>ROUND(180*1100/1000,0)</f>
        <v>198</v>
      </c>
      <c r="D283" s="26"/>
      <c r="E283" s="27"/>
      <c r="F283" s="40">
        <f>ROUND(C283/182*0.7,2)</f>
        <v>0.76</v>
      </c>
    </row>
    <row r="284" spans="2:6" ht="13.5" thickBot="1">
      <c r="B284" s="35" t="s">
        <v>19</v>
      </c>
      <c r="C284" s="36">
        <f>ROUND(2180*1650/1000,0)</f>
        <v>3597</v>
      </c>
      <c r="D284" s="29"/>
      <c r="E284" s="30"/>
      <c r="F284" s="41">
        <f>ROUND(C284/183*0.3,2)</f>
        <v>5.9</v>
      </c>
    </row>
    <row r="285" spans="2:6" ht="13.5" thickBot="1">
      <c r="B285" s="24"/>
      <c r="C285" s="9"/>
      <c r="D285" s="24"/>
      <c r="E285" s="24"/>
      <c r="F285" s="42"/>
    </row>
    <row r="286" spans="2:6" ht="12.75">
      <c r="B286" s="71" t="s">
        <v>51</v>
      </c>
      <c r="C286" s="34">
        <f>ROUND(225*1100/1000,0)</f>
        <v>248</v>
      </c>
      <c r="D286" s="26"/>
      <c r="E286" s="27"/>
      <c r="F286" s="40">
        <f>ROUND(C286/182*0.7,2)</f>
        <v>0.95</v>
      </c>
    </row>
    <row r="287" spans="2:6" ht="13.5" thickBot="1">
      <c r="B287" s="35" t="s">
        <v>19</v>
      </c>
      <c r="C287" s="36">
        <f>ROUND(2225*1650/1000,0)</f>
        <v>3671</v>
      </c>
      <c r="D287" s="29"/>
      <c r="E287" s="30"/>
      <c r="F287" s="41">
        <f>ROUND(C287/183*0.3,2)</f>
        <v>6.02</v>
      </c>
    </row>
    <row r="289" spans="1:2" ht="12.75">
      <c r="A289" s="44" t="s">
        <v>154</v>
      </c>
      <c r="B289" s="72" t="s">
        <v>160</v>
      </c>
    </row>
    <row r="290" ht="12.75">
      <c r="B290" t="s">
        <v>161</v>
      </c>
    </row>
    <row r="291" ht="12.75">
      <c r="B291" s="72" t="s">
        <v>162</v>
      </c>
    </row>
    <row r="292" spans="3:6" ht="13.5" thickBot="1">
      <c r="C292" s="22" t="s">
        <v>133</v>
      </c>
      <c r="F292" s="39" t="s">
        <v>9</v>
      </c>
    </row>
    <row r="293" spans="2:6" ht="12.75">
      <c r="B293" s="33" t="s">
        <v>68</v>
      </c>
      <c r="C293" s="34">
        <f>ROUND(50*1100/1000,0)</f>
        <v>55</v>
      </c>
      <c r="D293" s="26"/>
      <c r="E293" s="27"/>
      <c r="F293" s="40">
        <f>ROUND(C293/182*0.7,2)</f>
        <v>0.21</v>
      </c>
    </row>
    <row r="294" spans="2:6" ht="13.5" thickBot="1">
      <c r="B294" s="35" t="s">
        <v>28</v>
      </c>
      <c r="C294" s="36">
        <f>ROUND(50*1650/1000,0)</f>
        <v>83</v>
      </c>
      <c r="D294" s="29"/>
      <c r="E294" s="30"/>
      <c r="F294" s="41">
        <f>ROUND(C294/183*0.3,2)</f>
        <v>0.14</v>
      </c>
    </row>
    <row r="295" ht="13.5" thickBot="1"/>
    <row r="296" spans="2:6" ht="12.75">
      <c r="B296" s="33" t="s">
        <v>20</v>
      </c>
      <c r="C296" s="34">
        <f>ROUND(80*1100/1000,0)</f>
        <v>88</v>
      </c>
      <c r="D296" s="26"/>
      <c r="E296" s="27"/>
      <c r="F296" s="40">
        <f>ROUND(C296/182*0.7,2)</f>
        <v>0.34</v>
      </c>
    </row>
    <row r="297" spans="2:6" ht="13.5" thickBot="1">
      <c r="B297" s="35" t="s">
        <v>28</v>
      </c>
      <c r="C297" s="36">
        <f>ROUND(80*1650/1000,0)</f>
        <v>132</v>
      </c>
      <c r="D297" s="29"/>
      <c r="E297" s="30"/>
      <c r="F297" s="41">
        <f>ROUND(C297/183*0.3,2)</f>
        <v>0.22</v>
      </c>
    </row>
    <row r="298" ht="13.5" thickBot="1"/>
    <row r="299" spans="2:6" ht="12.75">
      <c r="B299" s="33" t="s">
        <v>21</v>
      </c>
      <c r="C299" s="34">
        <f>ROUND(130*1100/1000,0)</f>
        <v>143</v>
      </c>
      <c r="D299" s="26"/>
      <c r="E299" s="27"/>
      <c r="F299" s="40">
        <f>ROUND(C299/182*0.7,2)</f>
        <v>0.55</v>
      </c>
    </row>
    <row r="300" spans="2:6" ht="13.5" thickBot="1">
      <c r="B300" s="35" t="s">
        <v>28</v>
      </c>
      <c r="C300" s="36">
        <f>ROUND(130*1650/1000,0)</f>
        <v>215</v>
      </c>
      <c r="D300" s="29"/>
      <c r="E300" s="30"/>
      <c r="F300" s="41">
        <f>ROUND(C300/183*0.3,2)</f>
        <v>0.35</v>
      </c>
    </row>
    <row r="301" ht="13.5" thickBot="1"/>
    <row r="302" spans="2:6" ht="12.75">
      <c r="B302" s="33" t="s">
        <v>22</v>
      </c>
      <c r="C302" s="34">
        <f>ROUND(180*1100/1000,0)</f>
        <v>198</v>
      </c>
      <c r="D302" s="26"/>
      <c r="E302" s="27"/>
      <c r="F302" s="40">
        <f>ROUND(C302/182*0.7,2)</f>
        <v>0.76</v>
      </c>
    </row>
    <row r="303" spans="2:6" ht="13.5" thickBot="1">
      <c r="B303" s="35" t="s">
        <v>28</v>
      </c>
      <c r="C303" s="36">
        <f>ROUND(180*1650/1000,0)</f>
        <v>297</v>
      </c>
      <c r="D303" s="29"/>
      <c r="E303" s="30"/>
      <c r="F303" s="41">
        <f>ROUND(C303/183*0.3,2)</f>
        <v>0.49</v>
      </c>
    </row>
    <row r="304" ht="13.5" thickBot="1"/>
    <row r="305" spans="2:6" ht="12.75">
      <c r="B305" s="33" t="s">
        <v>50</v>
      </c>
      <c r="C305" s="34">
        <f>ROUND(210*1100/1000,0)</f>
        <v>231</v>
      </c>
      <c r="D305" s="26"/>
      <c r="E305" s="27"/>
      <c r="F305" s="40">
        <f>ROUND(C305/182*0.7,2)</f>
        <v>0.89</v>
      </c>
    </row>
    <row r="306" spans="2:6" ht="13.5" thickBot="1">
      <c r="B306" s="35" t="s">
        <v>28</v>
      </c>
      <c r="C306" s="36">
        <f>ROUND(210*1650/1000,0)</f>
        <v>347</v>
      </c>
      <c r="D306" s="29"/>
      <c r="E306" s="30"/>
      <c r="F306" s="41">
        <f>ROUND(C306/183*0.3,2)</f>
        <v>0.57</v>
      </c>
    </row>
    <row r="307" ht="13.5" thickBot="1"/>
    <row r="308" spans="2:6" ht="12.75">
      <c r="B308" s="31" t="s">
        <v>23</v>
      </c>
      <c r="C308" s="34">
        <f>ROUND(68*1100/1000,0)</f>
        <v>75</v>
      </c>
      <c r="D308" s="26"/>
      <c r="E308" s="27"/>
      <c r="F308" s="40">
        <f>ROUND(C308/182*0.7,2)</f>
        <v>0.29</v>
      </c>
    </row>
    <row r="309" spans="2:6" ht="13.5" thickBot="1">
      <c r="B309" s="35" t="s">
        <v>28</v>
      </c>
      <c r="C309" s="36">
        <f>ROUND(68*1650/1000,0)</f>
        <v>112</v>
      </c>
      <c r="D309" s="29"/>
      <c r="E309" s="30"/>
      <c r="F309" s="41">
        <f>ROUND(C309/183*0.3,2)</f>
        <v>0.18</v>
      </c>
    </row>
    <row r="310" ht="13.5" thickBot="1"/>
    <row r="311" spans="2:6" ht="12.75">
      <c r="B311" s="31" t="s">
        <v>24</v>
      </c>
      <c r="C311" s="34">
        <f>ROUND(135*1100/1000,0)</f>
        <v>149</v>
      </c>
      <c r="D311" s="26"/>
      <c r="E311" s="27"/>
      <c r="F311" s="40">
        <f>ROUND(C311/182*0.7,2)</f>
        <v>0.57</v>
      </c>
    </row>
    <row r="312" spans="2:6" ht="13.5" thickBot="1">
      <c r="B312" s="35" t="s">
        <v>28</v>
      </c>
      <c r="C312" s="36">
        <f>ROUND(135*1650/1000,0)</f>
        <v>223</v>
      </c>
      <c r="D312" s="29"/>
      <c r="E312" s="30"/>
      <c r="F312" s="41">
        <f>ROUND(C312/183*0.3,2)</f>
        <v>0.37</v>
      </c>
    </row>
    <row r="313" ht="13.5" thickBot="1"/>
    <row r="314" spans="2:6" ht="12.75">
      <c r="B314" s="31" t="s">
        <v>25</v>
      </c>
      <c r="C314" s="34">
        <f>ROUND(150*1100/1000,0)</f>
        <v>165</v>
      </c>
      <c r="D314" s="26"/>
      <c r="E314" s="27"/>
      <c r="F314" s="40">
        <f>ROUND(C314/182*0.7,2)</f>
        <v>0.63</v>
      </c>
    </row>
    <row r="315" spans="2:6" ht="13.5" thickBot="1">
      <c r="B315" s="35" t="s">
        <v>28</v>
      </c>
      <c r="C315" s="36">
        <f>ROUND(150*1650/1000,0)</f>
        <v>248</v>
      </c>
      <c r="D315" s="29"/>
      <c r="E315" s="30"/>
      <c r="F315" s="41">
        <f>ROUND(C315/183*0.3,2)</f>
        <v>0.41</v>
      </c>
    </row>
    <row r="316" ht="13.5" thickBot="1"/>
    <row r="317" spans="2:6" ht="12.75">
      <c r="B317" s="31" t="s">
        <v>26</v>
      </c>
      <c r="C317" s="34">
        <f>ROUND(260*1100/1000,0)</f>
        <v>286</v>
      </c>
      <c r="D317" s="26"/>
      <c r="E317" s="27"/>
      <c r="F317" s="40">
        <f>ROUND(C317/182*0.7,2)</f>
        <v>1.1</v>
      </c>
    </row>
    <row r="318" spans="2:6" ht="13.5" thickBot="1">
      <c r="B318" s="35" t="s">
        <v>28</v>
      </c>
      <c r="C318" s="36">
        <f>ROUND(260*1650/1000,0)</f>
        <v>429</v>
      </c>
      <c r="D318" s="29"/>
      <c r="E318" s="30"/>
      <c r="F318" s="41">
        <f>ROUND(C318/183*0.3,2)</f>
        <v>0.7</v>
      </c>
    </row>
    <row r="319" ht="13.5" thickBot="1"/>
    <row r="320" spans="2:6" ht="12.75">
      <c r="B320" s="70" t="s">
        <v>27</v>
      </c>
      <c r="C320" s="34">
        <f>ROUND(50*1100/1000,0)</f>
        <v>55</v>
      </c>
      <c r="D320" s="26"/>
      <c r="E320" s="27"/>
      <c r="F320" s="40">
        <f>ROUND(C320/182*0.7,2)</f>
        <v>0.21</v>
      </c>
    </row>
    <row r="321" spans="2:6" ht="13.5" thickBot="1">
      <c r="B321" s="35" t="s">
        <v>28</v>
      </c>
      <c r="C321" s="36">
        <f>ROUND(50*1650/1000,0)</f>
        <v>83</v>
      </c>
      <c r="D321" s="29"/>
      <c r="E321" s="30"/>
      <c r="F321" s="41">
        <f>ROUND(C321/183*0.3,2)</f>
        <v>0.14</v>
      </c>
    </row>
    <row r="322" ht="13.5" thickBot="1"/>
    <row r="323" spans="2:6" ht="12.75">
      <c r="B323" s="70" t="s">
        <v>29</v>
      </c>
      <c r="C323" s="34">
        <f>ROUND(85*1100/1000,0)</f>
        <v>94</v>
      </c>
      <c r="D323" s="26"/>
      <c r="E323" s="27"/>
      <c r="F323" s="40">
        <f>ROUND(C323/182*0.7,2)</f>
        <v>0.36</v>
      </c>
    </row>
    <row r="324" spans="2:6" ht="13.5" thickBot="1">
      <c r="B324" s="35" t="s">
        <v>28</v>
      </c>
      <c r="C324" s="36">
        <f>ROUND(85*1650/1000,0)</f>
        <v>140</v>
      </c>
      <c r="D324" s="29"/>
      <c r="E324" s="30"/>
      <c r="F324" s="41">
        <f>ROUND(C324/183*0.3,2)</f>
        <v>0.23</v>
      </c>
    </row>
    <row r="325" ht="13.5" thickBot="1"/>
    <row r="326" spans="2:6" ht="12.75">
      <c r="B326" s="70" t="s">
        <v>30</v>
      </c>
      <c r="C326" s="34">
        <f>ROUND(165*1100/1000,0)</f>
        <v>182</v>
      </c>
      <c r="D326" s="26"/>
      <c r="E326" s="27"/>
      <c r="F326" s="40">
        <f>ROUND(C326/182*0.7,2)</f>
        <v>0.7</v>
      </c>
    </row>
    <row r="327" spans="2:6" ht="13.5" thickBot="1">
      <c r="B327" s="35" t="s">
        <v>28</v>
      </c>
      <c r="C327" s="36">
        <f>ROUND(165*1650/1000,0)</f>
        <v>272</v>
      </c>
      <c r="D327" s="29"/>
      <c r="E327" s="30"/>
      <c r="F327" s="41">
        <f>ROUND(C327/183*0.3,2)</f>
        <v>0.45</v>
      </c>
    </row>
    <row r="328" ht="13.5" thickBot="1"/>
    <row r="329" spans="2:6" ht="12.75">
      <c r="B329" s="70" t="s">
        <v>31</v>
      </c>
      <c r="C329" s="34">
        <f>ROUND(165*1100/1000,0)</f>
        <v>182</v>
      </c>
      <c r="D329" s="26"/>
      <c r="E329" s="27"/>
      <c r="F329" s="40">
        <f>ROUND(C329/182*0.7,2)</f>
        <v>0.7</v>
      </c>
    </row>
    <row r="330" spans="2:6" ht="13.5" thickBot="1">
      <c r="B330" s="35" t="s">
        <v>28</v>
      </c>
      <c r="C330" s="36">
        <f>ROUND(165*1650/1000,0)</f>
        <v>272</v>
      </c>
      <c r="D330" s="29"/>
      <c r="E330" s="30"/>
      <c r="F330" s="41">
        <f>ROUND(C330/183*0.3,2)</f>
        <v>0.45</v>
      </c>
    </row>
    <row r="331" ht="13.5" thickBot="1"/>
    <row r="332" spans="2:6" ht="12.75">
      <c r="B332" s="70" t="s">
        <v>49</v>
      </c>
      <c r="C332" s="34">
        <f>ROUND(235*1100/1000,0)</f>
        <v>259</v>
      </c>
      <c r="D332" s="26"/>
      <c r="E332" s="27"/>
      <c r="F332" s="40">
        <f>ROUND(C332/182*0.7,2)</f>
        <v>1</v>
      </c>
    </row>
    <row r="333" spans="2:6" ht="13.5" thickBot="1">
      <c r="B333" s="35" t="s">
        <v>28</v>
      </c>
      <c r="C333" s="36">
        <f>ROUND(235*1650/1000,0)</f>
        <v>388</v>
      </c>
      <c r="D333" s="29"/>
      <c r="E333" s="30"/>
      <c r="F333" s="41">
        <f>ROUND(C333/183*0.3,2)</f>
        <v>0.64</v>
      </c>
    </row>
    <row r="334" ht="13.5" thickBot="1"/>
    <row r="335" spans="2:6" ht="12.75">
      <c r="B335" s="71" t="s">
        <v>32</v>
      </c>
      <c r="C335" s="34">
        <f>ROUND(150*1100/1000,0)</f>
        <v>165</v>
      </c>
      <c r="D335" s="26"/>
      <c r="E335" s="27"/>
      <c r="F335" s="40">
        <f>ROUND(C335/182*0.7,2)</f>
        <v>0.63</v>
      </c>
    </row>
    <row r="336" spans="2:6" ht="13.5" thickBot="1">
      <c r="B336" s="35" t="s">
        <v>28</v>
      </c>
      <c r="C336" s="36">
        <f>ROUND(150*1650/1000,0)</f>
        <v>248</v>
      </c>
      <c r="D336" s="29"/>
      <c r="E336" s="30"/>
      <c r="F336" s="41">
        <f>ROUND(C336/183*0.3,2)</f>
        <v>0.41</v>
      </c>
    </row>
    <row r="337" ht="13.5" thickBot="1"/>
    <row r="338" spans="2:6" ht="12.75">
      <c r="B338" s="71" t="s">
        <v>33</v>
      </c>
      <c r="C338" s="34">
        <f>ROUND(180*1100/1000,0)</f>
        <v>198</v>
      </c>
      <c r="D338" s="26"/>
      <c r="E338" s="27"/>
      <c r="F338" s="40">
        <f>ROUND(C338/182*0.7,2)</f>
        <v>0.76</v>
      </c>
    </row>
    <row r="339" spans="2:6" ht="13.5" thickBot="1">
      <c r="B339" s="35" t="s">
        <v>28</v>
      </c>
      <c r="C339" s="36">
        <f>ROUND(180*1650/1000,0)</f>
        <v>297</v>
      </c>
      <c r="D339" s="29"/>
      <c r="E339" s="30"/>
      <c r="F339" s="41">
        <f>ROUND(C339/183*0.3,2)</f>
        <v>0.49</v>
      </c>
    </row>
    <row r="340" ht="13.5" thickBot="1"/>
    <row r="341" spans="2:6" ht="12.75">
      <c r="B341" s="71" t="s">
        <v>51</v>
      </c>
      <c r="C341" s="34">
        <f>ROUND(225*1100/1000,0)</f>
        <v>248</v>
      </c>
      <c r="D341" s="26"/>
      <c r="E341" s="27"/>
      <c r="F341" s="40">
        <f>ROUND(C341/182*0.7,2)</f>
        <v>0.95</v>
      </c>
    </row>
    <row r="342" spans="2:6" ht="13.5" thickBot="1">
      <c r="B342" s="35" t="s">
        <v>28</v>
      </c>
      <c r="C342" s="36">
        <f>ROUND(225*1650/1000,0)</f>
        <v>371</v>
      </c>
      <c r="D342" s="29"/>
      <c r="E342" s="30"/>
      <c r="F342" s="41">
        <f>ROUND(C342/183*0.3,2)</f>
        <v>0.61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pane xSplit="7" ySplit="20" topLeftCell="H21" activePane="bottomRight" state="frozen"/>
      <selection pane="topLeft" activeCell="A1" sqref="A1"/>
      <selection pane="topRight" activeCell="H1" sqref="H1"/>
      <selection pane="bottomLeft" activeCell="A21" sqref="A21"/>
      <selection pane="bottomRight" activeCell="A20" sqref="A20"/>
    </sheetView>
  </sheetViews>
  <sheetFormatPr defaultColWidth="9.140625" defaultRowHeight="12.75"/>
  <cols>
    <col min="1" max="1" width="18.421875" style="0" bestFit="1" customWidth="1"/>
    <col min="2" max="2" width="12.28125" style="0" customWidth="1"/>
    <col min="3" max="3" width="12.7109375" style="0" bestFit="1" customWidth="1"/>
    <col min="8" max="8" width="5.00390625" style="0" customWidth="1"/>
    <col min="9" max="9" width="4.140625" style="0" customWidth="1"/>
    <col min="11" max="11" width="10.8515625" style="0" customWidth="1"/>
    <col min="12" max="12" width="9.140625" style="15" customWidth="1"/>
    <col min="13" max="13" width="9.140625" style="76" customWidth="1"/>
    <col min="14" max="14" width="9.140625" style="81" customWidth="1"/>
    <col min="15" max="15" width="9.140625" style="76" customWidth="1"/>
  </cols>
  <sheetData>
    <row r="1" spans="1:15" ht="38.25">
      <c r="A1" s="73" t="s">
        <v>36</v>
      </c>
      <c r="J1" s="74" t="str">
        <f>+'resold electricity calculation'!G1</f>
        <v>Period</v>
      </c>
      <c r="K1" s="49" t="s">
        <v>173</v>
      </c>
      <c r="L1" s="78" t="s">
        <v>70</v>
      </c>
      <c r="M1" s="68" t="s">
        <v>71</v>
      </c>
      <c r="N1" s="80" t="s">
        <v>74</v>
      </c>
      <c r="O1" s="68" t="s">
        <v>75</v>
      </c>
    </row>
    <row r="2" spans="10:15" ht="12.75">
      <c r="J2">
        <f>+'resold electricity calculation'!G2</f>
        <v>199901</v>
      </c>
      <c r="K2" s="67"/>
      <c r="L2" s="15">
        <f>ROUND(K2*$B$12,0)</f>
        <v>0</v>
      </c>
      <c r="M2" s="76">
        <f>ROUND(L2*'resold electricity calculation'!$E$22,2)</f>
        <v>0</v>
      </c>
      <c r="N2" s="81">
        <f>+'resold electricity calculation'!K2</f>
        <v>0</v>
      </c>
      <c r="O2" s="76">
        <f>ROUND(M2*N2,2)</f>
        <v>0</v>
      </c>
    </row>
    <row r="3" spans="1:15" ht="12.75">
      <c r="A3" t="s">
        <v>37</v>
      </c>
      <c r="B3">
        <v>2.4</v>
      </c>
      <c r="C3" t="s">
        <v>40</v>
      </c>
      <c r="J3">
        <f>+'resold electricity calculation'!G3</f>
        <v>199902</v>
      </c>
      <c r="K3" s="17"/>
      <c r="L3" s="15">
        <f aca="true" t="shared" si="0" ref="L3:L13">ROUND(K3*$B$12,0)</f>
        <v>0</v>
      </c>
      <c r="M3" s="76">
        <f>ROUND(L3*'resold electricity calculation'!$E$22,2)</f>
        <v>0</v>
      </c>
      <c r="N3" s="81">
        <f>+'resold electricity calculation'!K3</f>
        <v>0</v>
      </c>
      <c r="O3" s="76">
        <f aca="true" t="shared" si="1" ref="O3:O13">ROUND(M3*N3,2)</f>
        <v>0</v>
      </c>
    </row>
    <row r="4" spans="1:15" ht="12.75">
      <c r="A4" t="s">
        <v>38</v>
      </c>
      <c r="B4" s="20">
        <v>3</v>
      </c>
      <c r="C4" t="s">
        <v>43</v>
      </c>
      <c r="J4">
        <f>+'resold electricity calculation'!G4</f>
        <v>199903</v>
      </c>
      <c r="K4" s="17"/>
      <c r="L4" s="15">
        <f t="shared" si="0"/>
        <v>0</v>
      </c>
      <c r="M4" s="76">
        <f>ROUND(L4*'resold electricity calculation'!$E$22,2)</f>
        <v>0</v>
      </c>
      <c r="N4" s="81">
        <f>+'resold electricity calculation'!K4</f>
        <v>0</v>
      </c>
      <c r="O4" s="76">
        <f t="shared" si="1"/>
        <v>0</v>
      </c>
    </row>
    <row r="5" spans="10:15" ht="12.75">
      <c r="J5">
        <f>+'resold electricity calculation'!G5</f>
        <v>199904</v>
      </c>
      <c r="K5" s="17"/>
      <c r="L5" s="15">
        <f t="shared" si="0"/>
        <v>0</v>
      </c>
      <c r="M5" s="76">
        <f>ROUND(L5*'resold electricity calculation'!$E$22,2)</f>
        <v>0</v>
      </c>
      <c r="N5" s="81">
        <f>+'resold electricity calculation'!K5</f>
        <v>0</v>
      </c>
      <c r="O5" s="76">
        <f t="shared" si="1"/>
        <v>0</v>
      </c>
    </row>
    <row r="6" spans="2:15" ht="12.75">
      <c r="B6">
        <f>+B3+B4</f>
        <v>5.4</v>
      </c>
      <c r="C6" t="s">
        <v>39</v>
      </c>
      <c r="J6">
        <f>+'resold electricity calculation'!G6</f>
        <v>199905</v>
      </c>
      <c r="K6" s="17"/>
      <c r="L6" s="15">
        <f t="shared" si="0"/>
        <v>0</v>
      </c>
      <c r="M6" s="76">
        <f>ROUND(L6*'resold electricity calculation'!$E$22,2)</f>
        <v>0</v>
      </c>
      <c r="N6" s="81">
        <f>+'resold electricity calculation'!K6</f>
        <v>0</v>
      </c>
      <c r="O6" s="76">
        <f t="shared" si="1"/>
        <v>0</v>
      </c>
    </row>
    <row r="7" spans="10:15" ht="12.75">
      <c r="J7">
        <f>+'resold electricity calculation'!G7</f>
        <v>199906</v>
      </c>
      <c r="K7" s="17"/>
      <c r="L7" s="15">
        <f t="shared" si="0"/>
        <v>0</v>
      </c>
      <c r="M7" s="76">
        <f>ROUND(L7*'resold electricity calculation'!$E$22,2)</f>
        <v>0</v>
      </c>
      <c r="N7" s="81">
        <f>+'resold electricity calculation'!K7</f>
        <v>0</v>
      </c>
      <c r="O7" s="76">
        <f t="shared" si="1"/>
        <v>0</v>
      </c>
    </row>
    <row r="8" spans="2:15" ht="12.75">
      <c r="B8" s="21"/>
      <c r="C8" t="s">
        <v>176</v>
      </c>
      <c r="J8">
        <f>+'resold electricity calculation'!G8</f>
        <v>199907</v>
      </c>
      <c r="K8" s="17"/>
      <c r="L8" s="15">
        <f t="shared" si="0"/>
        <v>0</v>
      </c>
      <c r="M8" s="76">
        <f>ROUND(L8*'resold electricity calculation'!$E$22,2)</f>
        <v>0</v>
      </c>
      <c r="N8" s="81">
        <f>+'resold electricity calculation'!K8</f>
        <v>0</v>
      </c>
      <c r="O8" s="76">
        <f t="shared" si="1"/>
        <v>0</v>
      </c>
    </row>
    <row r="9" spans="10:15" ht="12.75">
      <c r="J9">
        <f>+'resold electricity calculation'!G9</f>
        <v>199908</v>
      </c>
      <c r="K9" s="17"/>
      <c r="L9" s="15">
        <f t="shared" si="0"/>
        <v>0</v>
      </c>
      <c r="M9" s="76">
        <f>ROUND(L9*'resold electricity calculation'!$E$22,2)</f>
        <v>0</v>
      </c>
      <c r="N9" s="81">
        <f>+'resold electricity calculation'!K9</f>
        <v>0</v>
      </c>
      <c r="O9" s="76">
        <f t="shared" si="1"/>
        <v>0</v>
      </c>
    </row>
    <row r="10" spans="2:15" ht="12.75">
      <c r="B10">
        <f>ROUND(B6*B8,3)</f>
        <v>0</v>
      </c>
      <c r="C10" t="s">
        <v>44</v>
      </c>
      <c r="J10">
        <f>+'resold electricity calculation'!G10</f>
        <v>199909</v>
      </c>
      <c r="K10" s="17"/>
      <c r="L10" s="15">
        <f t="shared" si="0"/>
        <v>0</v>
      </c>
      <c r="M10" s="76">
        <f>ROUND(L10*'resold electricity calculation'!$E$22,2)</f>
        <v>0</v>
      </c>
      <c r="N10" s="81">
        <f>+'resold electricity calculation'!K10</f>
        <v>0</v>
      </c>
      <c r="O10" s="76">
        <f t="shared" si="1"/>
        <v>0</v>
      </c>
    </row>
    <row r="11" spans="10:15" ht="12.75">
      <c r="J11">
        <f>+'resold electricity calculation'!G11</f>
        <v>199910</v>
      </c>
      <c r="K11" s="17"/>
      <c r="L11" s="15">
        <f t="shared" si="0"/>
        <v>0</v>
      </c>
      <c r="M11" s="76">
        <f>ROUND(L11*'resold electricity calculation'!$E$22,2)</f>
        <v>0</v>
      </c>
      <c r="N11" s="81">
        <f>+'resold electricity calculation'!K11</f>
        <v>0</v>
      </c>
      <c r="O11" s="76">
        <f t="shared" si="1"/>
        <v>0</v>
      </c>
    </row>
    <row r="12" spans="2:15" ht="12.75">
      <c r="B12" s="7">
        <f>ROUND(B10*4/1000,2)</f>
        <v>0</v>
      </c>
      <c r="C12" t="s">
        <v>175</v>
      </c>
      <c r="J12">
        <f>+'resold electricity calculation'!G12</f>
        <v>199911</v>
      </c>
      <c r="K12" s="17"/>
      <c r="L12" s="15">
        <f t="shared" si="0"/>
        <v>0</v>
      </c>
      <c r="M12" s="76">
        <f>ROUND(L12*'resold electricity calculation'!$E$22,2)</f>
        <v>0</v>
      </c>
      <c r="N12" s="81">
        <f>+'resold electricity calculation'!K12</f>
        <v>0</v>
      </c>
      <c r="O12" s="76">
        <f t="shared" si="1"/>
        <v>0</v>
      </c>
    </row>
    <row r="13" spans="3:15" ht="12.75">
      <c r="C13" t="s">
        <v>174</v>
      </c>
      <c r="J13">
        <f>+'resold electricity calculation'!G13</f>
        <v>199912</v>
      </c>
      <c r="K13" s="19"/>
      <c r="L13" s="15">
        <f t="shared" si="0"/>
        <v>0</v>
      </c>
      <c r="M13" s="76">
        <f>ROUND(L13*'resold electricity calculation'!$E$22,2)</f>
        <v>0</v>
      </c>
      <c r="N13" s="81">
        <f>+'resold electricity calculation'!K13</f>
        <v>0</v>
      </c>
      <c r="O13" s="76">
        <f t="shared" si="1"/>
        <v>0</v>
      </c>
    </row>
    <row r="14" spans="10:15" ht="12.75">
      <c r="J14" t="str">
        <f>+'resold electricity calculation'!G14</f>
        <v>Total</v>
      </c>
      <c r="K14" s="18">
        <f>SUM(K2:K13)</f>
        <v>0</v>
      </c>
      <c r="L14" s="18">
        <f>SUM(L2:L13)</f>
        <v>0</v>
      </c>
      <c r="M14" s="77">
        <f>SUM(M2:M13)</f>
        <v>0</v>
      </c>
      <c r="O14" s="77">
        <f>SUM(O2:O13)</f>
        <v>0</v>
      </c>
    </row>
    <row r="15" ht="12.75">
      <c r="A15" s="7"/>
    </row>
    <row r="16" spans="10:15" ht="12.75">
      <c r="J16">
        <f>+'resold electricity calculation'!G16</f>
        <v>200001</v>
      </c>
      <c r="K16" s="17"/>
      <c r="L16" s="15">
        <f aca="true" t="shared" si="2" ref="L16:L27">ROUND(K16*$B$12,0)</f>
        <v>0</v>
      </c>
      <c r="M16" s="76">
        <f>ROUND(L16*'resold electricity calculation'!$E$23,2)</f>
        <v>0</v>
      </c>
      <c r="N16" s="81">
        <f>+'resold electricity calculation'!K16</f>
        <v>0</v>
      </c>
      <c r="O16" s="76">
        <f aca="true" t="shared" si="3" ref="O16:O27">ROUND(M16*N16,2)</f>
        <v>0</v>
      </c>
    </row>
    <row r="17" spans="10:15" ht="12.75">
      <c r="J17">
        <f>+'resold electricity calculation'!G17</f>
        <v>200002</v>
      </c>
      <c r="K17" s="17"/>
      <c r="L17" s="15">
        <f t="shared" si="2"/>
        <v>0</v>
      </c>
      <c r="M17" s="76">
        <f>ROUND(L17*'resold electricity calculation'!$E$23,2)</f>
        <v>0</v>
      </c>
      <c r="N17" s="81">
        <f>+'resold electricity calculation'!K17</f>
        <v>0</v>
      </c>
      <c r="O17" s="76">
        <f t="shared" si="3"/>
        <v>0</v>
      </c>
    </row>
    <row r="18" spans="10:15" ht="12.75">
      <c r="J18">
        <f>+'resold electricity calculation'!G18</f>
        <v>200003</v>
      </c>
      <c r="K18" s="17"/>
      <c r="L18" s="15">
        <f t="shared" si="2"/>
        <v>0</v>
      </c>
      <c r="M18" s="76">
        <f>ROUND(L18*'resold electricity calculation'!$E$23,2)</f>
        <v>0</v>
      </c>
      <c r="N18" s="81">
        <f>+'resold electricity calculation'!K18</f>
        <v>0</v>
      </c>
      <c r="O18" s="76">
        <f t="shared" si="3"/>
        <v>0</v>
      </c>
    </row>
    <row r="19" spans="10:15" ht="12.75">
      <c r="J19">
        <f>+'resold electricity calculation'!G19</f>
        <v>200004</v>
      </c>
      <c r="K19" s="17"/>
      <c r="L19" s="15">
        <f t="shared" si="2"/>
        <v>0</v>
      </c>
      <c r="M19" s="76">
        <f>ROUND(L19*'resold electricity calculation'!$E$23,2)</f>
        <v>0</v>
      </c>
      <c r="N19" s="81">
        <f>+'resold electricity calculation'!K19</f>
        <v>0</v>
      </c>
      <c r="O19" s="76">
        <f t="shared" si="3"/>
        <v>0</v>
      </c>
    </row>
    <row r="20" spans="1:15" ht="15.75">
      <c r="A20" s="65" t="s">
        <v>72</v>
      </c>
      <c r="J20">
        <f>+'resold electricity calculation'!G20</f>
        <v>200005</v>
      </c>
      <c r="K20" s="17"/>
      <c r="L20" s="15">
        <f t="shared" si="2"/>
        <v>0</v>
      </c>
      <c r="M20" s="76">
        <f>ROUND(L20*'resold electricity calculation'!$E$23,2)</f>
        <v>0</v>
      </c>
      <c r="N20" s="81">
        <f>+'resold electricity calculation'!K20</f>
        <v>0</v>
      </c>
      <c r="O20" s="76">
        <f t="shared" si="3"/>
        <v>0</v>
      </c>
    </row>
    <row r="21" spans="1:15" ht="12.75">
      <c r="A21" t="s">
        <v>168</v>
      </c>
      <c r="J21">
        <f>+'resold electricity calculation'!G21</f>
        <v>200006</v>
      </c>
      <c r="K21" s="17"/>
      <c r="L21" s="15">
        <f t="shared" si="2"/>
        <v>0</v>
      </c>
      <c r="M21" s="76">
        <f>ROUND(L21*'resold electricity calculation'!$E$23,2)</f>
        <v>0</v>
      </c>
      <c r="N21" s="81">
        <f>+'resold electricity calculation'!K21</f>
        <v>0</v>
      </c>
      <c r="O21" s="76">
        <f t="shared" si="3"/>
        <v>0</v>
      </c>
    </row>
    <row r="22" spans="1:15" ht="12.75">
      <c r="A22" t="s">
        <v>169</v>
      </c>
      <c r="J22">
        <f>+'resold electricity calculation'!G22</f>
        <v>200007</v>
      </c>
      <c r="K22" s="17"/>
      <c r="L22" s="15">
        <f t="shared" si="2"/>
        <v>0</v>
      </c>
      <c r="M22" s="76">
        <f>ROUND(L22*'resold electricity calculation'!$E$23,2)</f>
        <v>0</v>
      </c>
      <c r="N22" s="81">
        <f>+'resold electricity calculation'!K22</f>
        <v>0</v>
      </c>
      <c r="O22" s="76">
        <f t="shared" si="3"/>
        <v>0</v>
      </c>
    </row>
    <row r="23" spans="1:15" ht="12.75">
      <c r="A23" t="s">
        <v>170</v>
      </c>
      <c r="J23">
        <f>+'resold electricity calculation'!G23</f>
        <v>200008</v>
      </c>
      <c r="K23" s="17"/>
      <c r="L23" s="15">
        <f t="shared" si="2"/>
        <v>0</v>
      </c>
      <c r="M23" s="76">
        <f>ROUND(L23*'resold electricity calculation'!$E$23,2)</f>
        <v>0</v>
      </c>
      <c r="N23" s="81">
        <f>+'resold electricity calculation'!K23</f>
        <v>0</v>
      </c>
      <c r="O23" s="76">
        <f t="shared" si="3"/>
        <v>0</v>
      </c>
    </row>
    <row r="24" spans="1:15" ht="12.75">
      <c r="A24" t="s">
        <v>172</v>
      </c>
      <c r="J24">
        <f>+'resold electricity calculation'!G24</f>
        <v>200009</v>
      </c>
      <c r="K24" s="17"/>
      <c r="L24" s="15">
        <f t="shared" si="2"/>
        <v>0</v>
      </c>
      <c r="M24" s="76">
        <f>ROUND(L24*'resold electricity calculation'!$E$23,2)</f>
        <v>0</v>
      </c>
      <c r="N24" s="81">
        <f>+'resold electricity calculation'!K24</f>
        <v>0</v>
      </c>
      <c r="O24" s="76">
        <f t="shared" si="3"/>
        <v>0</v>
      </c>
    </row>
    <row r="25" spans="1:15" ht="12.75">
      <c r="A25" t="s">
        <v>171</v>
      </c>
      <c r="J25">
        <f>+'resold electricity calculation'!G25</f>
        <v>200010</v>
      </c>
      <c r="K25" s="17"/>
      <c r="L25" s="15">
        <f t="shared" si="2"/>
        <v>0</v>
      </c>
      <c r="M25" s="76">
        <f>ROUND(L25*'resold electricity calculation'!$E$23,2)</f>
        <v>0</v>
      </c>
      <c r="N25" s="81">
        <f>+'resold electricity calculation'!K25</f>
        <v>0</v>
      </c>
      <c r="O25" s="76">
        <f t="shared" si="3"/>
        <v>0</v>
      </c>
    </row>
    <row r="26" spans="1:15" ht="12.75">
      <c r="A26" t="s">
        <v>177</v>
      </c>
      <c r="J26">
        <f>+'resold electricity calculation'!G26</f>
        <v>200011</v>
      </c>
      <c r="K26" s="17"/>
      <c r="L26" s="15">
        <f t="shared" si="2"/>
        <v>0</v>
      </c>
      <c r="M26" s="76">
        <f>ROUND(L26*'resold electricity calculation'!$E$23,2)</f>
        <v>0</v>
      </c>
      <c r="N26" s="81">
        <f>+'resold electricity calculation'!K26</f>
        <v>0</v>
      </c>
      <c r="O26" s="76">
        <f t="shared" si="3"/>
        <v>0</v>
      </c>
    </row>
    <row r="27" spans="1:15" ht="12.75">
      <c r="A27" t="s">
        <v>178</v>
      </c>
      <c r="J27">
        <f>+'resold electricity calculation'!G27</f>
        <v>200012</v>
      </c>
      <c r="K27" s="17"/>
      <c r="L27" s="15">
        <f t="shared" si="2"/>
        <v>0</v>
      </c>
      <c r="M27" s="76">
        <f>ROUND(L27*'resold electricity calculation'!$E$23,2)</f>
        <v>0</v>
      </c>
      <c r="N27" s="81">
        <f>+'resold electricity calculation'!K27</f>
        <v>0</v>
      </c>
      <c r="O27" s="76">
        <f t="shared" si="3"/>
        <v>0</v>
      </c>
    </row>
    <row r="28" spans="1:15" ht="12.75">
      <c r="A28" t="s">
        <v>179</v>
      </c>
      <c r="J28" t="str">
        <f>+'resold electricity calculation'!G28</f>
        <v>Total</v>
      </c>
      <c r="K28" s="18">
        <f>SUM(K16:K27)</f>
        <v>0</v>
      </c>
      <c r="L28" s="18">
        <f>SUM(L16:L27)</f>
        <v>0</v>
      </c>
      <c r="M28" s="77">
        <f>SUM(M16:M27)</f>
        <v>0</v>
      </c>
      <c r="O28" s="77">
        <f>SUM(O16:O27)</f>
        <v>0</v>
      </c>
    </row>
    <row r="29" ht="12.75">
      <c r="A29" t="s">
        <v>209</v>
      </c>
    </row>
    <row r="30" spans="1:15" ht="12.75">
      <c r="A30" t="s">
        <v>210</v>
      </c>
      <c r="J30">
        <f>+'resold electricity calculation'!G30</f>
        <v>200101</v>
      </c>
      <c r="K30" s="17"/>
      <c r="L30" s="15">
        <f aca="true" t="shared" si="4" ref="L30:L41">ROUND(K30*$B$12,0)</f>
        <v>0</v>
      </c>
      <c r="M30" s="76">
        <f>ROUND(L30*'resold electricity calculation'!$E$24,2)</f>
        <v>0</v>
      </c>
      <c r="N30" s="81">
        <f>+'resold electricity calculation'!K30</f>
        <v>0</v>
      </c>
      <c r="O30" s="76">
        <f aca="true" t="shared" si="5" ref="O30:O41">ROUND(M30*N30,2)</f>
        <v>0</v>
      </c>
    </row>
    <row r="31" spans="1:15" ht="12.75">
      <c r="A31" t="s">
        <v>211</v>
      </c>
      <c r="J31">
        <f>+'resold electricity calculation'!G31</f>
        <v>200102</v>
      </c>
      <c r="K31" s="17"/>
      <c r="L31" s="15">
        <f t="shared" si="4"/>
        <v>0</v>
      </c>
      <c r="M31" s="76">
        <f>ROUND(L31*'resold electricity calculation'!$E$24,2)</f>
        <v>0</v>
      </c>
      <c r="N31" s="81">
        <f>+'resold electricity calculation'!K31</f>
        <v>0</v>
      </c>
      <c r="O31" s="76">
        <f t="shared" si="5"/>
        <v>0</v>
      </c>
    </row>
    <row r="32" spans="1:15" ht="12.75">
      <c r="A32" t="s">
        <v>180</v>
      </c>
      <c r="J32">
        <f>+'resold electricity calculation'!G32</f>
        <v>200103</v>
      </c>
      <c r="K32" s="17"/>
      <c r="L32" s="15">
        <f t="shared" si="4"/>
        <v>0</v>
      </c>
      <c r="M32" s="76">
        <f>ROUND(L32*'resold electricity calculation'!$E$24,2)</f>
        <v>0</v>
      </c>
      <c r="N32" s="81">
        <f>+'resold electricity calculation'!K32</f>
        <v>0</v>
      </c>
      <c r="O32" s="76">
        <f t="shared" si="5"/>
        <v>0</v>
      </c>
    </row>
    <row r="33" spans="1:15" ht="12.75">
      <c r="A33" t="s">
        <v>181</v>
      </c>
      <c r="J33">
        <f>+'resold electricity calculation'!G33</f>
        <v>200104</v>
      </c>
      <c r="K33" s="17"/>
      <c r="L33" s="15">
        <f t="shared" si="4"/>
        <v>0</v>
      </c>
      <c r="M33" s="76">
        <f>ROUND(L33*'resold electricity calculation'!$E$24,2)</f>
        <v>0</v>
      </c>
      <c r="N33" s="81">
        <f>+'resold electricity calculation'!K33</f>
        <v>0</v>
      </c>
      <c r="O33" s="76">
        <f t="shared" si="5"/>
        <v>0</v>
      </c>
    </row>
    <row r="34" spans="1:15" ht="12.75">
      <c r="A34" t="s">
        <v>186</v>
      </c>
      <c r="J34">
        <f>+'resold electricity calculation'!G34</f>
        <v>200105</v>
      </c>
      <c r="K34" s="17"/>
      <c r="L34" s="15">
        <f t="shared" si="4"/>
        <v>0</v>
      </c>
      <c r="M34" s="76">
        <f>ROUND(L34*'resold electricity calculation'!$E$24,2)</f>
        <v>0</v>
      </c>
      <c r="N34" s="81">
        <f>+'resold electricity calculation'!K34</f>
        <v>0</v>
      </c>
      <c r="O34" s="76">
        <f t="shared" si="5"/>
        <v>0</v>
      </c>
    </row>
    <row r="35" spans="10:15" ht="12.75">
      <c r="J35">
        <f>+'resold electricity calculation'!G35</f>
        <v>200106</v>
      </c>
      <c r="K35" s="17"/>
      <c r="L35" s="15">
        <f t="shared" si="4"/>
        <v>0</v>
      </c>
      <c r="M35" s="76">
        <f>ROUND(L35*'resold electricity calculation'!$E$24,2)</f>
        <v>0</v>
      </c>
      <c r="N35" s="81">
        <f>+'resold electricity calculation'!K35</f>
        <v>0</v>
      </c>
      <c r="O35" s="76">
        <f t="shared" si="5"/>
        <v>0</v>
      </c>
    </row>
    <row r="36" spans="10:15" ht="12.75">
      <c r="J36">
        <f>+'resold electricity calculation'!G36</f>
        <v>200107</v>
      </c>
      <c r="K36" s="17"/>
      <c r="L36" s="15">
        <f t="shared" si="4"/>
        <v>0</v>
      </c>
      <c r="M36" s="76">
        <f>ROUND(L36*'resold electricity calculation'!$E$24,2)</f>
        <v>0</v>
      </c>
      <c r="N36" s="81">
        <f>+'resold electricity calculation'!K36</f>
        <v>0</v>
      </c>
      <c r="O36" s="76">
        <f t="shared" si="5"/>
        <v>0</v>
      </c>
    </row>
    <row r="37" spans="10:15" ht="12.75">
      <c r="J37">
        <f>+'resold electricity calculation'!G37</f>
        <v>200108</v>
      </c>
      <c r="K37" s="17"/>
      <c r="L37" s="15">
        <f t="shared" si="4"/>
        <v>0</v>
      </c>
      <c r="M37" s="76">
        <f>ROUND(L37*'resold electricity calculation'!$E$24,2)</f>
        <v>0</v>
      </c>
      <c r="N37" s="81">
        <f>+'resold electricity calculation'!K37</f>
        <v>0</v>
      </c>
      <c r="O37" s="76">
        <f t="shared" si="5"/>
        <v>0</v>
      </c>
    </row>
    <row r="38" spans="10:15" ht="12.75">
      <c r="J38">
        <f>+'resold electricity calculation'!G38</f>
        <v>200109</v>
      </c>
      <c r="K38" s="17"/>
      <c r="L38" s="15">
        <f t="shared" si="4"/>
        <v>0</v>
      </c>
      <c r="M38" s="76">
        <f>ROUND(L38*'resold electricity calculation'!$E$24,2)</f>
        <v>0</v>
      </c>
      <c r="N38" s="81">
        <f>+'resold electricity calculation'!K38</f>
        <v>0</v>
      </c>
      <c r="O38" s="76">
        <f t="shared" si="5"/>
        <v>0</v>
      </c>
    </row>
    <row r="39" spans="10:15" ht="12.75">
      <c r="J39">
        <f>+'resold electricity calculation'!G39</f>
        <v>200110</v>
      </c>
      <c r="K39" s="17"/>
      <c r="L39" s="15">
        <f t="shared" si="4"/>
        <v>0</v>
      </c>
      <c r="M39" s="76">
        <f>ROUND(L39*'resold electricity calculation'!$E$24,2)</f>
        <v>0</v>
      </c>
      <c r="N39" s="81">
        <f>+'resold electricity calculation'!K39</f>
        <v>0</v>
      </c>
      <c r="O39" s="76">
        <f t="shared" si="5"/>
        <v>0</v>
      </c>
    </row>
    <row r="40" spans="10:15" ht="12.75">
      <c r="J40">
        <f>+'resold electricity calculation'!G40</f>
        <v>200111</v>
      </c>
      <c r="K40" s="17"/>
      <c r="L40" s="15">
        <f t="shared" si="4"/>
        <v>0</v>
      </c>
      <c r="M40" s="76">
        <f>ROUND(L40*'resold electricity calculation'!$E$24,2)</f>
        <v>0</v>
      </c>
      <c r="N40" s="81">
        <f>+'resold electricity calculation'!K40</f>
        <v>0</v>
      </c>
      <c r="O40" s="76">
        <f t="shared" si="5"/>
        <v>0</v>
      </c>
    </row>
    <row r="41" spans="10:15" ht="12.75">
      <c r="J41">
        <f>+'resold electricity calculation'!G41</f>
        <v>200112</v>
      </c>
      <c r="K41" s="17"/>
      <c r="L41" s="15">
        <f t="shared" si="4"/>
        <v>0</v>
      </c>
      <c r="M41" s="76">
        <f>ROUND(L41*'resold electricity calculation'!$E$24,2)</f>
        <v>0</v>
      </c>
      <c r="N41" s="81">
        <f>+'resold electricity calculation'!K41</f>
        <v>0</v>
      </c>
      <c r="O41" s="76">
        <f t="shared" si="5"/>
        <v>0</v>
      </c>
    </row>
    <row r="42" spans="10:15" ht="12.75">
      <c r="J42" t="str">
        <f>+'resold electricity calculation'!G42</f>
        <v>Total</v>
      </c>
      <c r="K42" s="18">
        <f>SUM(K30:K41)</f>
        <v>0</v>
      </c>
      <c r="L42" s="18">
        <f>SUM(L30:L41)</f>
        <v>0</v>
      </c>
      <c r="M42" s="77">
        <f>SUM(M30:M41)</f>
        <v>0</v>
      </c>
      <c r="O42" s="77">
        <f>SUM(O30:O41)</f>
        <v>0</v>
      </c>
    </row>
    <row r="43" ht="12.75">
      <c r="K43" s="43"/>
    </row>
    <row r="44" spans="10:15" ht="12.75">
      <c r="J44">
        <f>+'resold electricity calculation'!G44</f>
        <v>200201</v>
      </c>
      <c r="K44" s="17"/>
      <c r="L44" s="15">
        <f aca="true" t="shared" si="6" ref="L44:L55">ROUND(K44*$B$12,0)</f>
        <v>0</v>
      </c>
      <c r="M44" s="76">
        <f>ROUND(L44*'resold electricity calculation'!$E$25,2)</f>
        <v>0</v>
      </c>
      <c r="N44" s="81">
        <f>+'resold electricity calculation'!K44</f>
        <v>0</v>
      </c>
      <c r="O44" s="76">
        <f aca="true" t="shared" si="7" ref="O44:O55">ROUND(M44*N44,2)</f>
        <v>0</v>
      </c>
    </row>
    <row r="45" spans="10:15" ht="12.75">
      <c r="J45">
        <f>+'resold electricity calculation'!G45</f>
        <v>200202</v>
      </c>
      <c r="K45" s="17"/>
      <c r="L45" s="15">
        <f t="shared" si="6"/>
        <v>0</v>
      </c>
      <c r="M45" s="76">
        <f>ROUND(L45*'resold electricity calculation'!$E$25,2)</f>
        <v>0</v>
      </c>
      <c r="N45" s="81">
        <f>+'resold electricity calculation'!K45</f>
        <v>0</v>
      </c>
      <c r="O45" s="76">
        <f t="shared" si="7"/>
        <v>0</v>
      </c>
    </row>
    <row r="46" spans="10:15" ht="12.75">
      <c r="J46">
        <f>+'resold electricity calculation'!G46</f>
        <v>200203</v>
      </c>
      <c r="K46" s="17"/>
      <c r="L46" s="15">
        <f t="shared" si="6"/>
        <v>0</v>
      </c>
      <c r="M46" s="76">
        <f>ROUND(L46*'resold electricity calculation'!$E$25,2)</f>
        <v>0</v>
      </c>
      <c r="N46" s="81">
        <f>+'resold electricity calculation'!K46</f>
        <v>0</v>
      </c>
      <c r="O46" s="76">
        <f t="shared" si="7"/>
        <v>0</v>
      </c>
    </row>
    <row r="47" spans="10:15" ht="12.75">
      <c r="J47">
        <f>+'resold electricity calculation'!G47</f>
        <v>200204</v>
      </c>
      <c r="K47" s="17"/>
      <c r="L47" s="15">
        <f t="shared" si="6"/>
        <v>0</v>
      </c>
      <c r="M47" s="76">
        <f>ROUND(L47*'resold electricity calculation'!$E$25,2)</f>
        <v>0</v>
      </c>
      <c r="N47" s="81">
        <f>+'resold electricity calculation'!K47</f>
        <v>0</v>
      </c>
      <c r="O47" s="76">
        <f t="shared" si="7"/>
        <v>0</v>
      </c>
    </row>
    <row r="48" spans="10:15" ht="12.75">
      <c r="J48">
        <f>+'resold electricity calculation'!G48</f>
        <v>200205</v>
      </c>
      <c r="K48" s="17"/>
      <c r="L48" s="15">
        <f t="shared" si="6"/>
        <v>0</v>
      </c>
      <c r="M48" s="76">
        <f>ROUND(L48*'resold electricity calculation'!$E$25,2)</f>
        <v>0</v>
      </c>
      <c r="N48" s="81">
        <f>+'resold electricity calculation'!K48</f>
        <v>0</v>
      </c>
      <c r="O48" s="76">
        <f t="shared" si="7"/>
        <v>0</v>
      </c>
    </row>
    <row r="49" spans="10:15" ht="12.75">
      <c r="J49">
        <f>+'resold electricity calculation'!G49</f>
        <v>200206</v>
      </c>
      <c r="K49" s="17"/>
      <c r="L49" s="15">
        <f t="shared" si="6"/>
        <v>0</v>
      </c>
      <c r="M49" s="76">
        <f>ROUND(L49*'resold electricity calculation'!$E$25,2)</f>
        <v>0</v>
      </c>
      <c r="N49" s="81">
        <f>+'resold electricity calculation'!K49</f>
        <v>0</v>
      </c>
      <c r="O49" s="76">
        <f t="shared" si="7"/>
        <v>0</v>
      </c>
    </row>
    <row r="50" spans="10:15" ht="12.75">
      <c r="J50">
        <f>+'resold electricity calculation'!G50</f>
        <v>200207</v>
      </c>
      <c r="K50" s="17"/>
      <c r="L50" s="15">
        <f t="shared" si="6"/>
        <v>0</v>
      </c>
      <c r="M50" s="76">
        <f>ROUND(L50*'resold electricity calculation'!$E$25,2)</f>
        <v>0</v>
      </c>
      <c r="N50" s="81">
        <f>+'resold electricity calculation'!K50</f>
        <v>0</v>
      </c>
      <c r="O50" s="76">
        <f t="shared" si="7"/>
        <v>0</v>
      </c>
    </row>
    <row r="51" spans="10:15" ht="12.75">
      <c r="J51">
        <f>+'resold electricity calculation'!G51</f>
        <v>200208</v>
      </c>
      <c r="K51" s="17"/>
      <c r="L51" s="15">
        <f t="shared" si="6"/>
        <v>0</v>
      </c>
      <c r="M51" s="76">
        <f>ROUND(L51*'resold electricity calculation'!$E$25,2)</f>
        <v>0</v>
      </c>
      <c r="N51" s="81">
        <f>+'resold electricity calculation'!K51</f>
        <v>0</v>
      </c>
      <c r="O51" s="76">
        <f t="shared" si="7"/>
        <v>0</v>
      </c>
    </row>
    <row r="52" spans="10:15" ht="12.75">
      <c r="J52">
        <f>+'resold electricity calculation'!G52</f>
        <v>200209</v>
      </c>
      <c r="K52" s="17"/>
      <c r="L52" s="15">
        <f t="shared" si="6"/>
        <v>0</v>
      </c>
      <c r="M52" s="76">
        <f>ROUND(L52*'resold electricity calculation'!$E$25,2)</f>
        <v>0</v>
      </c>
      <c r="N52" s="81">
        <f>+'resold electricity calculation'!K52</f>
        <v>0</v>
      </c>
      <c r="O52" s="76">
        <f t="shared" si="7"/>
        <v>0</v>
      </c>
    </row>
    <row r="53" spans="10:15" ht="12.75">
      <c r="J53">
        <f>+'resold electricity calculation'!G53</f>
        <v>200210</v>
      </c>
      <c r="K53" s="17"/>
      <c r="L53" s="15">
        <f t="shared" si="6"/>
        <v>0</v>
      </c>
      <c r="M53" s="76">
        <f>ROUND(L53*'resold electricity calculation'!$E$25,2)</f>
        <v>0</v>
      </c>
      <c r="N53" s="81">
        <f>+'resold electricity calculation'!K53</f>
        <v>0</v>
      </c>
      <c r="O53" s="76">
        <f t="shared" si="7"/>
        <v>0</v>
      </c>
    </row>
    <row r="54" spans="10:15" ht="12.75">
      <c r="J54">
        <f>+'resold electricity calculation'!G54</f>
        <v>200211</v>
      </c>
      <c r="K54" s="17"/>
      <c r="L54" s="15">
        <f t="shared" si="6"/>
        <v>0</v>
      </c>
      <c r="M54" s="76">
        <f>ROUND(L54*'resold electricity calculation'!$E$25,2)</f>
        <v>0</v>
      </c>
      <c r="N54" s="81">
        <f>+'resold electricity calculation'!K54</f>
        <v>0</v>
      </c>
      <c r="O54" s="76">
        <f t="shared" si="7"/>
        <v>0</v>
      </c>
    </row>
    <row r="55" spans="10:15" ht="12.75">
      <c r="J55">
        <f>+'resold electricity calculation'!G55</f>
        <v>200212</v>
      </c>
      <c r="K55" s="17"/>
      <c r="L55" s="15">
        <f t="shared" si="6"/>
        <v>0</v>
      </c>
      <c r="M55" s="76">
        <f>ROUND(L55*'resold electricity calculation'!$E$25,2)</f>
        <v>0</v>
      </c>
      <c r="N55" s="81">
        <f>+'resold electricity calculation'!K55</f>
        <v>0</v>
      </c>
      <c r="O55" s="76">
        <f t="shared" si="7"/>
        <v>0</v>
      </c>
    </row>
    <row r="56" spans="10:15" ht="12.75">
      <c r="J56" t="str">
        <f>+'resold electricity calculation'!G56</f>
        <v>Total</v>
      </c>
      <c r="K56" s="18">
        <f>SUM(K44:K55)</f>
        <v>0</v>
      </c>
      <c r="L56" s="18">
        <f>SUM(L44:L55)</f>
        <v>0</v>
      </c>
      <c r="M56" s="77">
        <f>SUM(M44:M55)</f>
        <v>0</v>
      </c>
      <c r="O56" s="77">
        <f>SUM(O44:O55)</f>
        <v>0</v>
      </c>
    </row>
    <row r="58" spans="10:15" ht="12.75">
      <c r="J58">
        <f>+'resold electricity calculation'!G58</f>
        <v>200301</v>
      </c>
      <c r="K58" s="17"/>
      <c r="L58" s="15">
        <f aca="true" t="shared" si="8" ref="L58:L69">ROUND(K58*$B$12,0)</f>
        <v>0</v>
      </c>
      <c r="M58" s="76">
        <f>ROUND(L58*'resold electricity calculation'!$E$26,2)</f>
        <v>0</v>
      </c>
      <c r="N58" s="81">
        <f>+'resold electricity calculation'!K58</f>
        <v>0</v>
      </c>
      <c r="O58" s="76">
        <f aca="true" t="shared" si="9" ref="O58:O69">ROUND(M58*N58,2)</f>
        <v>0</v>
      </c>
    </row>
    <row r="59" spans="10:15" ht="12.75">
      <c r="J59">
        <f>+'resold electricity calculation'!G59</f>
        <v>200302</v>
      </c>
      <c r="K59" s="17"/>
      <c r="L59" s="15">
        <f t="shared" si="8"/>
        <v>0</v>
      </c>
      <c r="M59" s="76">
        <f>ROUND(L59*'resold electricity calculation'!$E$26,2)</f>
        <v>0</v>
      </c>
      <c r="N59" s="81">
        <f>+'resold electricity calculation'!K59</f>
        <v>0</v>
      </c>
      <c r="O59" s="76">
        <f t="shared" si="9"/>
        <v>0</v>
      </c>
    </row>
    <row r="60" spans="10:15" ht="12.75">
      <c r="J60">
        <f>+'resold electricity calculation'!G60</f>
        <v>200303</v>
      </c>
      <c r="K60" s="17"/>
      <c r="L60" s="15">
        <f t="shared" si="8"/>
        <v>0</v>
      </c>
      <c r="M60" s="76">
        <f>ROUND(L60*'resold electricity calculation'!$E$26,2)</f>
        <v>0</v>
      </c>
      <c r="N60" s="81">
        <f>+'resold electricity calculation'!K60</f>
        <v>0</v>
      </c>
      <c r="O60" s="76">
        <f t="shared" si="9"/>
        <v>0</v>
      </c>
    </row>
    <row r="61" spans="10:15" ht="12.75">
      <c r="J61">
        <f>+'resold electricity calculation'!G61</f>
        <v>200304</v>
      </c>
      <c r="K61" s="17"/>
      <c r="L61" s="15">
        <f t="shared" si="8"/>
        <v>0</v>
      </c>
      <c r="M61" s="76">
        <f>ROUND(L61*'resold electricity calculation'!$E$26,2)</f>
        <v>0</v>
      </c>
      <c r="N61" s="81">
        <f>+'resold electricity calculation'!K61</f>
        <v>0</v>
      </c>
      <c r="O61" s="76">
        <f t="shared" si="9"/>
        <v>0</v>
      </c>
    </row>
    <row r="62" spans="10:15" ht="12.75">
      <c r="J62">
        <f>+'resold electricity calculation'!G62</f>
        <v>200305</v>
      </c>
      <c r="K62" s="17"/>
      <c r="L62" s="15">
        <f t="shared" si="8"/>
        <v>0</v>
      </c>
      <c r="M62" s="76">
        <f>ROUND(L62*'resold electricity calculation'!$E$26,2)</f>
        <v>0</v>
      </c>
      <c r="N62" s="81">
        <f>+'resold electricity calculation'!K62</f>
        <v>0</v>
      </c>
      <c r="O62" s="76">
        <f t="shared" si="9"/>
        <v>0</v>
      </c>
    </row>
    <row r="63" spans="10:15" ht="12.75">
      <c r="J63">
        <f>+'resold electricity calculation'!G63</f>
        <v>200306</v>
      </c>
      <c r="K63" s="17"/>
      <c r="L63" s="15">
        <f t="shared" si="8"/>
        <v>0</v>
      </c>
      <c r="M63" s="76">
        <f>ROUND(L63*'resold electricity calculation'!$E$26,2)</f>
        <v>0</v>
      </c>
      <c r="N63" s="81">
        <f>+'resold electricity calculation'!K63</f>
        <v>0</v>
      </c>
      <c r="O63" s="76">
        <f t="shared" si="9"/>
        <v>0</v>
      </c>
    </row>
    <row r="64" spans="10:15" ht="12.75">
      <c r="J64">
        <f>+'resold electricity calculation'!G64</f>
        <v>200307</v>
      </c>
      <c r="K64" s="17"/>
      <c r="L64" s="15">
        <f t="shared" si="8"/>
        <v>0</v>
      </c>
      <c r="M64" s="76">
        <f>ROUND(L64*'resold electricity calculation'!$E$26,2)</f>
        <v>0</v>
      </c>
      <c r="N64" s="81">
        <f>+'resold electricity calculation'!K64</f>
        <v>0</v>
      </c>
      <c r="O64" s="76">
        <f t="shared" si="9"/>
        <v>0</v>
      </c>
    </row>
    <row r="65" spans="10:15" ht="12.75">
      <c r="J65">
        <f>+'resold electricity calculation'!G65</f>
        <v>200308</v>
      </c>
      <c r="K65" s="17"/>
      <c r="L65" s="15">
        <f t="shared" si="8"/>
        <v>0</v>
      </c>
      <c r="M65" s="76">
        <f>ROUND(L65*'resold electricity calculation'!$E$26,2)</f>
        <v>0</v>
      </c>
      <c r="N65" s="81">
        <f>+'resold electricity calculation'!K65</f>
        <v>0</v>
      </c>
      <c r="O65" s="76">
        <f t="shared" si="9"/>
        <v>0</v>
      </c>
    </row>
    <row r="66" spans="10:15" ht="12.75">
      <c r="J66">
        <f>+'resold electricity calculation'!G66</f>
        <v>200309</v>
      </c>
      <c r="K66" s="17"/>
      <c r="L66" s="15">
        <f t="shared" si="8"/>
        <v>0</v>
      </c>
      <c r="M66" s="76">
        <f>ROUND(L66*'resold electricity calculation'!$E$26,2)</f>
        <v>0</v>
      </c>
      <c r="N66" s="81">
        <f>+'resold electricity calculation'!K66</f>
        <v>0</v>
      </c>
      <c r="O66" s="76">
        <f t="shared" si="9"/>
        <v>0</v>
      </c>
    </row>
    <row r="67" spans="10:15" ht="12.75">
      <c r="J67">
        <f>+'resold electricity calculation'!G67</f>
        <v>200310</v>
      </c>
      <c r="K67" s="17"/>
      <c r="L67" s="15">
        <f t="shared" si="8"/>
        <v>0</v>
      </c>
      <c r="M67" s="76">
        <f>ROUND(L67*'resold electricity calculation'!$E$26,2)</f>
        <v>0</v>
      </c>
      <c r="N67" s="81">
        <f>+'resold electricity calculation'!K67</f>
        <v>0</v>
      </c>
      <c r="O67" s="76">
        <f t="shared" si="9"/>
        <v>0</v>
      </c>
    </row>
    <row r="68" spans="10:15" ht="12.75">
      <c r="J68">
        <f>+'resold electricity calculation'!G68</f>
        <v>200311</v>
      </c>
      <c r="K68" s="17"/>
      <c r="L68" s="15">
        <f t="shared" si="8"/>
        <v>0</v>
      </c>
      <c r="M68" s="76">
        <f>ROUND(L68*'resold electricity calculation'!$E$26,2)</f>
        <v>0</v>
      </c>
      <c r="N68" s="81">
        <f>+'resold electricity calculation'!K68</f>
        <v>0</v>
      </c>
      <c r="O68" s="76">
        <f t="shared" si="9"/>
        <v>0</v>
      </c>
    </row>
    <row r="69" spans="10:15" ht="12.75">
      <c r="J69">
        <f>+'resold electricity calculation'!G69</f>
        <v>200312</v>
      </c>
      <c r="K69" s="17"/>
      <c r="L69" s="15">
        <f t="shared" si="8"/>
        <v>0</v>
      </c>
      <c r="M69" s="76">
        <f>ROUND(L69*'resold electricity calculation'!$E$26,2)</f>
        <v>0</v>
      </c>
      <c r="N69" s="81">
        <f>+'resold electricity calculation'!K69</f>
        <v>0</v>
      </c>
      <c r="O69" s="76">
        <f t="shared" si="9"/>
        <v>0</v>
      </c>
    </row>
    <row r="70" spans="10:15" ht="12.75">
      <c r="J70" t="str">
        <f>+'resold electricity calculation'!G70</f>
        <v>Total</v>
      </c>
      <c r="K70" s="18">
        <f>SUM(K58:K69)</f>
        <v>0</v>
      </c>
      <c r="L70" s="18">
        <f>SUM(L58:L69)</f>
        <v>0</v>
      </c>
      <c r="M70" s="77">
        <f>SUM(M58:M69)</f>
        <v>0</v>
      </c>
      <c r="O70" s="77">
        <f>SUM(O58:O69)</f>
        <v>0</v>
      </c>
    </row>
    <row r="72" spans="10:15" ht="12.75">
      <c r="J72">
        <f>+'resold electricity calculation'!G72</f>
        <v>200401</v>
      </c>
      <c r="K72" s="17"/>
      <c r="L72" s="15">
        <f aca="true" t="shared" si="10" ref="L72:L83">ROUND(K72*$B$12,0)</f>
        <v>0</v>
      </c>
      <c r="M72" s="76">
        <f>ROUND(L72*'resold electricity calculation'!$E$27,2)</f>
        <v>0</v>
      </c>
      <c r="N72" s="81">
        <f>+'resold electricity calculation'!K72</f>
        <v>0</v>
      </c>
      <c r="O72" s="76">
        <f aca="true" t="shared" si="11" ref="O72:O83">ROUND(M72*N72,2)</f>
        <v>0</v>
      </c>
    </row>
    <row r="73" spans="10:15" ht="12.75">
      <c r="J73">
        <f>+'resold electricity calculation'!G73</f>
        <v>200402</v>
      </c>
      <c r="K73" s="17"/>
      <c r="L73" s="15">
        <f t="shared" si="10"/>
        <v>0</v>
      </c>
      <c r="M73" s="76">
        <f>ROUND(L73*'resold electricity calculation'!$E$27,2)</f>
        <v>0</v>
      </c>
      <c r="N73" s="81">
        <f>+'resold electricity calculation'!K73</f>
        <v>0</v>
      </c>
      <c r="O73" s="76">
        <f t="shared" si="11"/>
        <v>0</v>
      </c>
    </row>
    <row r="74" spans="10:15" ht="12.75">
      <c r="J74">
        <f>+'resold electricity calculation'!G74</f>
        <v>200403</v>
      </c>
      <c r="K74" s="17"/>
      <c r="L74" s="15">
        <f t="shared" si="10"/>
        <v>0</v>
      </c>
      <c r="M74" s="76">
        <f>ROUND(L74*'resold electricity calculation'!$E$27,2)</f>
        <v>0</v>
      </c>
      <c r="N74" s="81">
        <f>+'resold electricity calculation'!K74</f>
        <v>0</v>
      </c>
      <c r="O74" s="76">
        <f t="shared" si="11"/>
        <v>0</v>
      </c>
    </row>
    <row r="75" spans="10:15" ht="12.75">
      <c r="J75">
        <f>+'resold electricity calculation'!G75</f>
        <v>200404</v>
      </c>
      <c r="K75" s="17"/>
      <c r="L75" s="15">
        <f t="shared" si="10"/>
        <v>0</v>
      </c>
      <c r="M75" s="76">
        <f>ROUND(L75*'resold electricity calculation'!$E$27,2)</f>
        <v>0</v>
      </c>
      <c r="N75" s="81">
        <f>+'resold electricity calculation'!K75</f>
        <v>0</v>
      </c>
      <c r="O75" s="76">
        <f t="shared" si="11"/>
        <v>0</v>
      </c>
    </row>
    <row r="76" spans="10:15" ht="12.75">
      <c r="J76">
        <f>+'resold electricity calculation'!G76</f>
        <v>200405</v>
      </c>
      <c r="K76" s="17"/>
      <c r="L76" s="15">
        <f t="shared" si="10"/>
        <v>0</v>
      </c>
      <c r="M76" s="76">
        <f>ROUND(L76*'resold electricity calculation'!$E$27,2)</f>
        <v>0</v>
      </c>
      <c r="N76" s="81">
        <f>+'resold electricity calculation'!K76</f>
        <v>0</v>
      </c>
      <c r="O76" s="76">
        <f t="shared" si="11"/>
        <v>0</v>
      </c>
    </row>
    <row r="77" spans="10:15" ht="12.75">
      <c r="J77">
        <f>+'resold electricity calculation'!G77</f>
        <v>200406</v>
      </c>
      <c r="K77" s="17"/>
      <c r="L77" s="15">
        <f t="shared" si="10"/>
        <v>0</v>
      </c>
      <c r="M77" s="76">
        <f>ROUND(L77*'resold electricity calculation'!$E$27,2)</f>
        <v>0</v>
      </c>
      <c r="N77" s="81">
        <f>+'resold electricity calculation'!K77</f>
        <v>0</v>
      </c>
      <c r="O77" s="76">
        <f t="shared" si="11"/>
        <v>0</v>
      </c>
    </row>
    <row r="78" spans="10:15" ht="12.75">
      <c r="J78">
        <f>+'resold electricity calculation'!G78</f>
        <v>200407</v>
      </c>
      <c r="K78" s="17"/>
      <c r="L78" s="15">
        <f t="shared" si="10"/>
        <v>0</v>
      </c>
      <c r="M78" s="76">
        <f>ROUND(L78*'resold electricity calculation'!$E$27,2)</f>
        <v>0</v>
      </c>
      <c r="N78" s="81">
        <f>+'resold electricity calculation'!K78</f>
        <v>0</v>
      </c>
      <c r="O78" s="76">
        <f t="shared" si="11"/>
        <v>0</v>
      </c>
    </row>
    <row r="79" spans="10:15" ht="12.75">
      <c r="J79">
        <f>+'resold electricity calculation'!G79</f>
        <v>200408</v>
      </c>
      <c r="K79" s="17"/>
      <c r="L79" s="15">
        <f t="shared" si="10"/>
        <v>0</v>
      </c>
      <c r="M79" s="76">
        <f>ROUND(L79*'resold electricity calculation'!$E$27,2)</f>
        <v>0</v>
      </c>
      <c r="N79" s="81">
        <f>+'resold electricity calculation'!K79</f>
        <v>0</v>
      </c>
      <c r="O79" s="76">
        <f t="shared" si="11"/>
        <v>0</v>
      </c>
    </row>
    <row r="80" spans="10:15" ht="12.75">
      <c r="J80">
        <f>+'resold electricity calculation'!G80</f>
        <v>200409</v>
      </c>
      <c r="K80" s="17"/>
      <c r="L80" s="15">
        <f t="shared" si="10"/>
        <v>0</v>
      </c>
      <c r="M80" s="76">
        <f>ROUND(L80*'resold electricity calculation'!$E$27,2)</f>
        <v>0</v>
      </c>
      <c r="N80" s="81">
        <f>+'resold electricity calculation'!K80</f>
        <v>0</v>
      </c>
      <c r="O80" s="76">
        <f t="shared" si="11"/>
        <v>0</v>
      </c>
    </row>
    <row r="81" spans="10:15" ht="12.75">
      <c r="J81">
        <f>+'resold electricity calculation'!G81</f>
        <v>200410</v>
      </c>
      <c r="K81" s="17"/>
      <c r="L81" s="15">
        <f t="shared" si="10"/>
        <v>0</v>
      </c>
      <c r="M81" s="76">
        <f>ROUND(L81*'resold electricity calculation'!$E$27,2)</f>
        <v>0</v>
      </c>
      <c r="N81" s="81">
        <f>+'resold electricity calculation'!K81</f>
        <v>0</v>
      </c>
      <c r="O81" s="76">
        <f t="shared" si="11"/>
        <v>0</v>
      </c>
    </row>
    <row r="82" spans="10:15" ht="12.75">
      <c r="J82">
        <f>+'resold electricity calculation'!G82</f>
        <v>200411</v>
      </c>
      <c r="K82" s="17"/>
      <c r="L82" s="15">
        <f t="shared" si="10"/>
        <v>0</v>
      </c>
      <c r="M82" s="76">
        <f>ROUND(L82*'resold electricity calculation'!$E$27,2)</f>
        <v>0</v>
      </c>
      <c r="N82" s="81">
        <f>+'resold electricity calculation'!K82</f>
        <v>0</v>
      </c>
      <c r="O82" s="76">
        <f t="shared" si="11"/>
        <v>0</v>
      </c>
    </row>
    <row r="83" spans="10:15" ht="12.75">
      <c r="J83">
        <f>+'resold electricity calculation'!G83</f>
        <v>200412</v>
      </c>
      <c r="K83" s="17"/>
      <c r="L83" s="15">
        <f t="shared" si="10"/>
        <v>0</v>
      </c>
      <c r="M83" s="76">
        <f>ROUND(L83*'resold electricity calculation'!$E$27,2)</f>
        <v>0</v>
      </c>
      <c r="N83" s="81">
        <f>+'resold electricity calculation'!K83</f>
        <v>0</v>
      </c>
      <c r="O83" s="76">
        <f t="shared" si="11"/>
        <v>0</v>
      </c>
    </row>
    <row r="84" spans="10:15" ht="12.75">
      <c r="J84" t="str">
        <f>+'resold electricity calculation'!G84</f>
        <v>Total</v>
      </c>
      <c r="K84" s="18">
        <f>SUM(K72:K83)</f>
        <v>0</v>
      </c>
      <c r="L84" s="18">
        <f>SUM(L72:L83)</f>
        <v>0</v>
      </c>
      <c r="M84" s="77">
        <f>SUM(M72:M83)</f>
        <v>0</v>
      </c>
      <c r="O84" s="77">
        <f>SUM(O72:O83)</f>
        <v>0</v>
      </c>
    </row>
    <row r="86" spans="10:15" ht="12.75">
      <c r="J86">
        <f>+'resold electricity calculation'!G86</f>
        <v>200501</v>
      </c>
      <c r="K86" s="17"/>
      <c r="L86" s="15">
        <f>ROUND(K86*$B$12,0)</f>
        <v>0</v>
      </c>
      <c r="M86" s="76">
        <f>ROUND(L86*'resold electricity calculation'!$E$28,2)</f>
        <v>0</v>
      </c>
      <c r="N86" s="81">
        <f>+'resold electricity calculation'!K86</f>
        <v>0</v>
      </c>
      <c r="O86" s="76">
        <f>ROUND(M86*N86,2)</f>
        <v>0</v>
      </c>
    </row>
    <row r="87" spans="10:15" ht="12.75">
      <c r="J87">
        <f>+'resold electricity calculation'!G87</f>
        <v>200502</v>
      </c>
      <c r="K87" s="17"/>
      <c r="L87" s="15">
        <f>ROUND(K87*$B$12,0)</f>
        <v>0</v>
      </c>
      <c r="M87" s="76">
        <f>ROUND(L87*'resold electricity calculation'!$E$28,2)</f>
        <v>0</v>
      </c>
      <c r="N87" s="81">
        <f>+'resold electricity calculation'!K87</f>
        <v>0</v>
      </c>
      <c r="O87" s="76">
        <f>ROUND(M87*N87,2)</f>
        <v>0</v>
      </c>
    </row>
    <row r="88" spans="10:15" ht="12.75">
      <c r="J88">
        <f>+'resold electricity calculation'!G88</f>
        <v>200503</v>
      </c>
      <c r="K88" s="17"/>
      <c r="L88" s="15">
        <f>ROUND(K88*$B$12,0)</f>
        <v>0</v>
      </c>
      <c r="M88" s="76">
        <f>ROUND(L88*'resold electricity calculation'!$E$28,2)</f>
        <v>0</v>
      </c>
      <c r="N88" s="81">
        <f>+'resold electricity calculation'!K88</f>
        <v>0</v>
      </c>
      <c r="O88" s="76">
        <f>ROUND(M88*N88,2)</f>
        <v>0</v>
      </c>
    </row>
    <row r="89" spans="10:15" ht="12.75">
      <c r="J89">
        <f>+'resold electricity calculation'!G89</f>
        <v>200504</v>
      </c>
      <c r="K89" s="17"/>
      <c r="L89" s="15">
        <f aca="true" t="shared" si="12" ref="L89:L97">ROUND(K89*$B$12,0)</f>
        <v>0</v>
      </c>
      <c r="M89" s="76">
        <f>ROUND(L89*'resold electricity calculation'!$E$28,2)</f>
        <v>0</v>
      </c>
      <c r="N89" s="81">
        <f>+'resold electricity calculation'!K89</f>
        <v>0</v>
      </c>
      <c r="O89" s="76">
        <f aca="true" t="shared" si="13" ref="O89:O97">ROUND(M89*N89,2)</f>
        <v>0</v>
      </c>
    </row>
    <row r="90" spans="10:15" ht="12.75">
      <c r="J90">
        <f>+'resold electricity calculation'!G90</f>
        <v>200505</v>
      </c>
      <c r="K90" s="17"/>
      <c r="L90" s="15">
        <f t="shared" si="12"/>
        <v>0</v>
      </c>
      <c r="M90" s="76">
        <f>ROUND(L90*'resold electricity calculation'!$E$28,2)</f>
        <v>0</v>
      </c>
      <c r="N90" s="81">
        <f>+'resold electricity calculation'!K90</f>
        <v>0</v>
      </c>
      <c r="O90" s="76">
        <f t="shared" si="13"/>
        <v>0</v>
      </c>
    </row>
    <row r="91" spans="10:15" ht="12.75">
      <c r="J91">
        <f>+'resold electricity calculation'!G91</f>
        <v>200506</v>
      </c>
      <c r="K91" s="17"/>
      <c r="L91" s="15">
        <f t="shared" si="12"/>
        <v>0</v>
      </c>
      <c r="M91" s="76">
        <f>ROUND(L91*'resold electricity calculation'!$E$28,2)</f>
        <v>0</v>
      </c>
      <c r="N91" s="81">
        <f>+'resold electricity calculation'!K91</f>
        <v>0</v>
      </c>
      <c r="O91" s="76">
        <f t="shared" si="13"/>
        <v>0</v>
      </c>
    </row>
    <row r="92" spans="10:15" ht="12.75">
      <c r="J92">
        <f>+'resold electricity calculation'!G92</f>
        <v>200507</v>
      </c>
      <c r="K92" s="17"/>
      <c r="L92" s="15">
        <f t="shared" si="12"/>
        <v>0</v>
      </c>
      <c r="M92" s="76">
        <f>ROUND(L92*'resold electricity calculation'!$E$28,2)</f>
        <v>0</v>
      </c>
      <c r="N92" s="81">
        <f>+'resold electricity calculation'!K92</f>
        <v>0</v>
      </c>
      <c r="O92" s="76">
        <f t="shared" si="13"/>
        <v>0</v>
      </c>
    </row>
    <row r="93" spans="10:15" ht="12.75">
      <c r="J93">
        <f>+'resold electricity calculation'!G93</f>
        <v>200508</v>
      </c>
      <c r="K93" s="17"/>
      <c r="L93" s="15">
        <f t="shared" si="12"/>
        <v>0</v>
      </c>
      <c r="M93" s="76">
        <f>ROUND(L93*'resold electricity calculation'!$E$28,2)</f>
        <v>0</v>
      </c>
      <c r="N93" s="81">
        <f>+'resold electricity calculation'!K93</f>
        <v>0</v>
      </c>
      <c r="O93" s="76">
        <f t="shared" si="13"/>
        <v>0</v>
      </c>
    </row>
    <row r="94" spans="10:15" ht="12.75">
      <c r="J94">
        <f>+'resold electricity calculation'!G94</f>
        <v>200509</v>
      </c>
      <c r="K94" s="17"/>
      <c r="L94" s="15">
        <f t="shared" si="12"/>
        <v>0</v>
      </c>
      <c r="M94" s="76">
        <f>ROUND(L94*'resold electricity calculation'!$E$28,2)</f>
        <v>0</v>
      </c>
      <c r="N94" s="81">
        <f>+'resold electricity calculation'!K94</f>
        <v>0</v>
      </c>
      <c r="O94" s="76">
        <f t="shared" si="13"/>
        <v>0</v>
      </c>
    </row>
    <row r="95" spans="10:15" ht="12.75">
      <c r="J95">
        <f>+'resold electricity calculation'!G95</f>
        <v>200510</v>
      </c>
      <c r="K95" s="17"/>
      <c r="L95" s="15">
        <f t="shared" si="12"/>
        <v>0</v>
      </c>
      <c r="M95" s="76">
        <f>ROUND(L95*'resold electricity calculation'!$E$28,2)</f>
        <v>0</v>
      </c>
      <c r="N95" s="81">
        <f>+'resold electricity calculation'!K95</f>
        <v>0</v>
      </c>
      <c r="O95" s="76">
        <f t="shared" si="13"/>
        <v>0</v>
      </c>
    </row>
    <row r="96" spans="10:15" ht="12.75">
      <c r="J96">
        <f>+'resold electricity calculation'!G96</f>
        <v>200511</v>
      </c>
      <c r="K96" s="17"/>
      <c r="L96" s="15">
        <f t="shared" si="12"/>
        <v>0</v>
      </c>
      <c r="M96" s="76">
        <f>ROUND(L96*'resold electricity calculation'!$E$28,2)</f>
        <v>0</v>
      </c>
      <c r="N96" s="81">
        <f>+'resold electricity calculation'!K96</f>
        <v>0</v>
      </c>
      <c r="O96" s="76">
        <f t="shared" si="13"/>
        <v>0</v>
      </c>
    </row>
    <row r="97" spans="10:15" ht="12.75">
      <c r="J97">
        <f>+'resold electricity calculation'!G97</f>
        <v>200512</v>
      </c>
      <c r="K97" s="17"/>
      <c r="L97" s="15">
        <f t="shared" si="12"/>
        <v>0</v>
      </c>
      <c r="M97" s="76">
        <f>ROUND(L97*'resold electricity calculation'!$E$28,2)</f>
        <v>0</v>
      </c>
      <c r="N97" s="81">
        <f>+'resold electricity calculation'!K97</f>
        <v>0</v>
      </c>
      <c r="O97" s="76">
        <f t="shared" si="13"/>
        <v>0</v>
      </c>
    </row>
    <row r="98" spans="10:15" ht="12.75">
      <c r="J98" t="str">
        <f>+'resold electricity calculation'!G98</f>
        <v>Total</v>
      </c>
      <c r="K98" s="18">
        <f>SUM(K86:K97)</f>
        <v>0</v>
      </c>
      <c r="L98" s="18">
        <f>SUM(L86:L97)</f>
        <v>0</v>
      </c>
      <c r="M98" s="77">
        <f>SUM(M86:M97)</f>
        <v>0</v>
      </c>
      <c r="O98" s="77">
        <f>SUM(O86:O97)</f>
        <v>0</v>
      </c>
    </row>
    <row r="99" spans="11:15" ht="12.75">
      <c r="K99" s="92"/>
      <c r="L99" s="92"/>
      <c r="M99" s="96"/>
      <c r="O99" s="96"/>
    </row>
    <row r="100" spans="10:15" ht="12.75">
      <c r="J100">
        <v>200601</v>
      </c>
      <c r="K100" s="17"/>
      <c r="L100" s="15">
        <f>ROUND(K100*$B$12,0)</f>
        <v>0</v>
      </c>
      <c r="M100" s="76">
        <f>ROUND(L100*'resold electricity calculation'!$E$29,2)</f>
        <v>0</v>
      </c>
      <c r="N100" s="81">
        <f>+'resold electricity calculation'!K100</f>
        <v>0</v>
      </c>
      <c r="O100" s="76">
        <f>ROUND(M100*N100,2)</f>
        <v>0</v>
      </c>
    </row>
    <row r="101" spans="10:15" ht="12.75">
      <c r="J101">
        <v>200602</v>
      </c>
      <c r="K101" s="17"/>
      <c r="L101" s="15">
        <f>ROUND(K101*$B$12,0)</f>
        <v>0</v>
      </c>
      <c r="M101" s="76">
        <f>ROUND(L101*'resold electricity calculation'!$E$29,2)</f>
        <v>0</v>
      </c>
      <c r="N101" s="81">
        <f>+'resold electricity calculation'!K101</f>
        <v>0</v>
      </c>
      <c r="O101" s="76">
        <f>ROUND(M101*N101,2)</f>
        <v>0</v>
      </c>
    </row>
    <row r="102" spans="10:15" ht="12.75">
      <c r="J102">
        <v>200603</v>
      </c>
      <c r="K102" s="17"/>
      <c r="L102" s="15">
        <f>ROUND(K102*$B$12,0)</f>
        <v>0</v>
      </c>
      <c r="M102" s="76">
        <f>ROUND(L102*'resold electricity calculation'!$E$29,2)</f>
        <v>0</v>
      </c>
      <c r="N102" s="81">
        <f>+'resold electricity calculation'!K102</f>
        <v>0</v>
      </c>
      <c r="O102" s="76">
        <f>ROUND(M102*N102,2)</f>
        <v>0</v>
      </c>
    </row>
    <row r="103" spans="10:15" ht="12.75">
      <c r="J103">
        <v>200604</v>
      </c>
      <c r="K103" s="17"/>
      <c r="L103" s="15">
        <f>ROUND(K103*$B$12,0)</f>
        <v>0</v>
      </c>
      <c r="M103" s="76">
        <f>ROUND(L103*'resold electricity calculation'!$E$29,2)</f>
        <v>0</v>
      </c>
      <c r="N103" s="81">
        <f>+'resold electricity calculation'!K103</f>
        <v>0</v>
      </c>
      <c r="O103" s="76">
        <f>ROUND(M103*N103,2)</f>
        <v>0</v>
      </c>
    </row>
    <row r="104" spans="10:15" ht="12.75">
      <c r="J104">
        <v>200605</v>
      </c>
      <c r="K104" s="94"/>
      <c r="L104" s="15">
        <f>ROUND(K104*$B$12,0)</f>
        <v>0</v>
      </c>
      <c r="M104" s="76">
        <f>ROUND(L104*'resold electricity calculation'!$E$29,2)</f>
        <v>0</v>
      </c>
      <c r="N104" s="81">
        <f>+'resold electricity calculation'!K104</f>
        <v>0</v>
      </c>
      <c r="O104" s="76">
        <f>ROUND(M104*N104,2)</f>
        <v>0</v>
      </c>
    </row>
    <row r="105" spans="10:15" ht="12.75">
      <c r="J105" t="s">
        <v>35</v>
      </c>
      <c r="K105" s="95">
        <f>SUM(K100:K104)</f>
        <v>0</v>
      </c>
      <c r="L105" s="16">
        <f>SUM(L100:L104)</f>
        <v>0</v>
      </c>
      <c r="M105" s="77">
        <f>SUM(M100:M104)</f>
        <v>0</v>
      </c>
      <c r="O105" s="77">
        <f>SUM(O100:O104)</f>
        <v>0</v>
      </c>
    </row>
    <row r="107" spans="10:15" ht="13.5" thickBot="1">
      <c r="J107" t="s">
        <v>230</v>
      </c>
      <c r="K107" s="86">
        <f>SUM(K2:K105)/2</f>
        <v>0</v>
      </c>
      <c r="L107" s="86">
        <f>SUM(L2:L105)/2</f>
        <v>0</v>
      </c>
      <c r="M107" s="87">
        <f>SUM(M2:M105)/2</f>
        <v>0</v>
      </c>
      <c r="O107" s="87">
        <f>SUM(O2:O105)/2</f>
        <v>0</v>
      </c>
    </row>
    <row r="108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3" max="3" width="10.7109375" style="0" customWidth="1"/>
    <col min="4" max="4" width="11.00390625" style="0" customWidth="1"/>
    <col min="6" max="6" width="27.28125" style="0" customWidth="1"/>
  </cols>
  <sheetData>
    <row r="1" spans="1:4" ht="25.5">
      <c r="A1" s="49" t="s">
        <v>34</v>
      </c>
      <c r="B1" s="85" t="s">
        <v>231</v>
      </c>
      <c r="C1" s="85" t="s">
        <v>36</v>
      </c>
      <c r="D1" s="85" t="s">
        <v>232</v>
      </c>
    </row>
    <row r="2" spans="1:6" ht="12.75">
      <c r="A2">
        <v>199901</v>
      </c>
      <c r="B2" s="88">
        <f>+'resold electricity calculation'!L2</f>
        <v>0</v>
      </c>
      <c r="C2" s="88">
        <f>+'conference room calc'!O2</f>
        <v>0</v>
      </c>
      <c r="D2" s="76">
        <f>+B2+C2</f>
        <v>0</v>
      </c>
      <c r="F2">
        <f>+'Hotel info sheet'!B2</f>
        <v>0</v>
      </c>
    </row>
    <row r="3" spans="1:6" ht="12.75">
      <c r="A3">
        <v>199902</v>
      </c>
      <c r="B3" s="88">
        <f>+'resold electricity calculation'!L3</f>
        <v>0</v>
      </c>
      <c r="C3" s="88">
        <f>+'conference room calc'!O3</f>
        <v>0</v>
      </c>
      <c r="D3" s="76">
        <f aca="true" t="shared" si="0" ref="D3:D13">+B3+C3</f>
        <v>0</v>
      </c>
      <c r="F3">
        <f>+'Hotel info sheet'!B4</f>
        <v>0</v>
      </c>
    </row>
    <row r="4" spans="1:6" ht="12.75">
      <c r="A4">
        <v>199903</v>
      </c>
      <c r="B4" s="88">
        <f>+'resold electricity calculation'!L4</f>
        <v>0</v>
      </c>
      <c r="C4" s="88">
        <f>+'conference room calc'!O4</f>
        <v>0</v>
      </c>
      <c r="D4" s="76">
        <f t="shared" si="0"/>
        <v>0</v>
      </c>
      <c r="F4">
        <f>+'Hotel info sheet'!B8</f>
        <v>0</v>
      </c>
    </row>
    <row r="5" spans="1:4" ht="12.75">
      <c r="A5">
        <v>199904</v>
      </c>
      <c r="B5" s="88">
        <f>+'resold electricity calculation'!L5</f>
        <v>0</v>
      </c>
      <c r="C5" s="88">
        <f>+'conference room calc'!O5</f>
        <v>0</v>
      </c>
      <c r="D5" s="76">
        <f t="shared" si="0"/>
        <v>0</v>
      </c>
    </row>
    <row r="6" spans="1:4" ht="12.75">
      <c r="A6">
        <v>199905</v>
      </c>
      <c r="B6" s="88">
        <f>+'resold electricity calculation'!L6</f>
        <v>0</v>
      </c>
      <c r="C6" s="88">
        <f>+'conference room calc'!O6</f>
        <v>0</v>
      </c>
      <c r="D6" s="76">
        <f t="shared" si="0"/>
        <v>0</v>
      </c>
    </row>
    <row r="7" spans="1:4" ht="12.75">
      <c r="A7">
        <v>199906</v>
      </c>
      <c r="B7" s="88">
        <f>+'resold electricity calculation'!L7</f>
        <v>0</v>
      </c>
      <c r="C7" s="88">
        <f>+'conference room calc'!O7</f>
        <v>0</v>
      </c>
      <c r="D7" s="76">
        <f t="shared" si="0"/>
        <v>0</v>
      </c>
    </row>
    <row r="8" spans="1:4" ht="12.75">
      <c r="A8">
        <v>199907</v>
      </c>
      <c r="B8" s="88">
        <f>+'resold electricity calculation'!L8</f>
        <v>0</v>
      </c>
      <c r="C8" s="88">
        <f>+'conference room calc'!O8</f>
        <v>0</v>
      </c>
      <c r="D8" s="76">
        <f t="shared" si="0"/>
        <v>0</v>
      </c>
    </row>
    <row r="9" spans="1:4" ht="12.75">
      <c r="A9">
        <v>199908</v>
      </c>
      <c r="B9" s="88">
        <f>+'resold electricity calculation'!L9</f>
        <v>0</v>
      </c>
      <c r="C9" s="88">
        <f>+'conference room calc'!O9</f>
        <v>0</v>
      </c>
      <c r="D9" s="76">
        <f t="shared" si="0"/>
        <v>0</v>
      </c>
    </row>
    <row r="10" spans="1:4" ht="12.75">
      <c r="A10">
        <v>199909</v>
      </c>
      <c r="B10" s="88">
        <f>+'resold electricity calculation'!L10</f>
        <v>0</v>
      </c>
      <c r="C10" s="88">
        <f>+'conference room calc'!O10</f>
        <v>0</v>
      </c>
      <c r="D10" s="76">
        <f t="shared" si="0"/>
        <v>0</v>
      </c>
    </row>
    <row r="11" spans="1:4" ht="12.75">
      <c r="A11">
        <v>199910</v>
      </c>
      <c r="B11" s="88">
        <f>+'resold electricity calculation'!L11</f>
        <v>0</v>
      </c>
      <c r="C11" s="88">
        <f>+'conference room calc'!O11</f>
        <v>0</v>
      </c>
      <c r="D11" s="76">
        <f t="shared" si="0"/>
        <v>0</v>
      </c>
    </row>
    <row r="12" spans="1:4" ht="12.75">
      <c r="A12">
        <v>199911</v>
      </c>
      <c r="B12" s="88">
        <f>+'resold electricity calculation'!L12</f>
        <v>0</v>
      </c>
      <c r="C12" s="88">
        <f>+'conference room calc'!O12</f>
        <v>0</v>
      </c>
      <c r="D12" s="76">
        <f t="shared" si="0"/>
        <v>0</v>
      </c>
    </row>
    <row r="13" spans="1:4" ht="12.75">
      <c r="A13">
        <v>199912</v>
      </c>
      <c r="B13" s="88">
        <f>+'resold electricity calculation'!L13</f>
        <v>0</v>
      </c>
      <c r="C13" s="88">
        <f>+'conference room calc'!O13</f>
        <v>0</v>
      </c>
      <c r="D13" s="76">
        <f t="shared" si="0"/>
        <v>0</v>
      </c>
    </row>
    <row r="14" spans="1:4" ht="12.75">
      <c r="A14" t="s">
        <v>35</v>
      </c>
      <c r="B14" s="89">
        <f>+'resold electricity calculation'!L14</f>
        <v>0</v>
      </c>
      <c r="C14" s="89">
        <f>+'conference room calc'!O14</f>
        <v>0</v>
      </c>
      <c r="D14" s="77">
        <f>+B14+C14</f>
        <v>0</v>
      </c>
    </row>
    <row r="15" spans="2:3" ht="12.75">
      <c r="B15" s="1"/>
      <c r="C15" s="1"/>
    </row>
    <row r="16" spans="1:4" ht="12.75">
      <c r="A16">
        <v>200001</v>
      </c>
      <c r="B16" s="88">
        <f>+'resold electricity calculation'!L16</f>
        <v>0</v>
      </c>
      <c r="C16" s="88">
        <f>+'conference room calc'!O16</f>
        <v>0</v>
      </c>
      <c r="D16" s="76">
        <f aca="true" t="shared" si="1" ref="D16:D28">+B16+C16</f>
        <v>0</v>
      </c>
    </row>
    <row r="17" spans="1:4" ht="12.75">
      <c r="A17">
        <v>200002</v>
      </c>
      <c r="B17" s="88">
        <f>+'resold electricity calculation'!L17</f>
        <v>0</v>
      </c>
      <c r="C17" s="88">
        <f>+'conference room calc'!O17</f>
        <v>0</v>
      </c>
      <c r="D17" s="76">
        <f t="shared" si="1"/>
        <v>0</v>
      </c>
    </row>
    <row r="18" spans="1:4" ht="12.75">
      <c r="A18">
        <v>200003</v>
      </c>
      <c r="B18" s="88">
        <f>+'resold electricity calculation'!L18</f>
        <v>0</v>
      </c>
      <c r="C18" s="88">
        <f>+'conference room calc'!O18</f>
        <v>0</v>
      </c>
      <c r="D18" s="76">
        <f t="shared" si="1"/>
        <v>0</v>
      </c>
    </row>
    <row r="19" spans="1:4" ht="12.75">
      <c r="A19">
        <v>200004</v>
      </c>
      <c r="B19" s="88">
        <f>+'resold electricity calculation'!L19</f>
        <v>0</v>
      </c>
      <c r="C19" s="88">
        <f>+'conference room calc'!O19</f>
        <v>0</v>
      </c>
      <c r="D19" s="76">
        <f t="shared" si="1"/>
        <v>0</v>
      </c>
    </row>
    <row r="20" spans="1:4" ht="12.75">
      <c r="A20">
        <v>200005</v>
      </c>
      <c r="B20" s="88">
        <f>+'resold electricity calculation'!L20</f>
        <v>0</v>
      </c>
      <c r="C20" s="88">
        <f>+'conference room calc'!O20</f>
        <v>0</v>
      </c>
      <c r="D20" s="76">
        <f t="shared" si="1"/>
        <v>0</v>
      </c>
    </row>
    <row r="21" spans="1:4" ht="12.75">
      <c r="A21">
        <v>200006</v>
      </c>
      <c r="B21" s="88">
        <f>+'resold electricity calculation'!L21</f>
        <v>0</v>
      </c>
      <c r="C21" s="88">
        <f>+'conference room calc'!O21</f>
        <v>0</v>
      </c>
      <c r="D21" s="76">
        <f t="shared" si="1"/>
        <v>0</v>
      </c>
    </row>
    <row r="22" spans="1:4" ht="12.75">
      <c r="A22">
        <v>200007</v>
      </c>
      <c r="B22" s="88">
        <f>+'resold electricity calculation'!L22</f>
        <v>0</v>
      </c>
      <c r="C22" s="88">
        <f>+'conference room calc'!O22</f>
        <v>0</v>
      </c>
      <c r="D22" s="76">
        <f t="shared" si="1"/>
        <v>0</v>
      </c>
    </row>
    <row r="23" spans="1:4" ht="12.75">
      <c r="A23">
        <v>200008</v>
      </c>
      <c r="B23" s="88">
        <f>+'resold electricity calculation'!L23</f>
        <v>0</v>
      </c>
      <c r="C23" s="88">
        <f>+'conference room calc'!O23</f>
        <v>0</v>
      </c>
      <c r="D23" s="76">
        <f t="shared" si="1"/>
        <v>0</v>
      </c>
    </row>
    <row r="24" spans="1:4" ht="12.75">
      <c r="A24">
        <v>200009</v>
      </c>
      <c r="B24" s="88">
        <f>+'resold electricity calculation'!L24</f>
        <v>0</v>
      </c>
      <c r="C24" s="88">
        <f>+'conference room calc'!O24</f>
        <v>0</v>
      </c>
      <c r="D24" s="76">
        <f t="shared" si="1"/>
        <v>0</v>
      </c>
    </row>
    <row r="25" spans="1:4" ht="12.75">
      <c r="A25">
        <v>200010</v>
      </c>
      <c r="B25" s="88">
        <f>+'resold electricity calculation'!L25</f>
        <v>0</v>
      </c>
      <c r="C25" s="88">
        <f>+'conference room calc'!O25</f>
        <v>0</v>
      </c>
      <c r="D25" s="76">
        <f t="shared" si="1"/>
        <v>0</v>
      </c>
    </row>
    <row r="26" spans="1:4" ht="12.75">
      <c r="A26">
        <v>200011</v>
      </c>
      <c r="B26" s="88">
        <f>+'resold electricity calculation'!L26</f>
        <v>0</v>
      </c>
      <c r="C26" s="88">
        <f>+'conference room calc'!O26</f>
        <v>0</v>
      </c>
      <c r="D26" s="76">
        <f t="shared" si="1"/>
        <v>0</v>
      </c>
    </row>
    <row r="27" spans="1:4" ht="12.75">
      <c r="A27">
        <v>200012</v>
      </c>
      <c r="B27" s="88">
        <f>+'resold electricity calculation'!L27</f>
        <v>0</v>
      </c>
      <c r="C27" s="88">
        <f>+'conference room calc'!O27</f>
        <v>0</v>
      </c>
      <c r="D27" s="76">
        <f t="shared" si="1"/>
        <v>0</v>
      </c>
    </row>
    <row r="28" spans="1:4" ht="12.75">
      <c r="A28" t="s">
        <v>35</v>
      </c>
      <c r="B28" s="89">
        <f>+'resold electricity calculation'!L28</f>
        <v>0</v>
      </c>
      <c r="C28" s="89">
        <f>+'conference room calc'!O28</f>
        <v>0</v>
      </c>
      <c r="D28" s="77">
        <f t="shared" si="1"/>
        <v>0</v>
      </c>
    </row>
    <row r="29" spans="2:3" ht="12.75">
      <c r="B29" s="1"/>
      <c r="C29" s="1"/>
    </row>
    <row r="30" spans="1:4" ht="12.75">
      <c r="A30">
        <v>200101</v>
      </c>
      <c r="B30" s="88">
        <f>+'resold electricity calculation'!L30</f>
        <v>0</v>
      </c>
      <c r="C30" s="88">
        <f>+'conference room calc'!O30</f>
        <v>0</v>
      </c>
      <c r="D30" s="76">
        <f aca="true" t="shared" si="2" ref="D30:D42">+B30+C30</f>
        <v>0</v>
      </c>
    </row>
    <row r="31" spans="1:4" ht="12.75">
      <c r="A31">
        <v>200102</v>
      </c>
      <c r="B31" s="88">
        <f>+'resold electricity calculation'!L31</f>
        <v>0</v>
      </c>
      <c r="C31" s="88">
        <f>+'conference room calc'!O31</f>
        <v>0</v>
      </c>
      <c r="D31" s="76">
        <f t="shared" si="2"/>
        <v>0</v>
      </c>
    </row>
    <row r="32" spans="1:4" ht="12.75">
      <c r="A32">
        <v>200103</v>
      </c>
      <c r="B32" s="88">
        <f>+'resold electricity calculation'!L32</f>
        <v>0</v>
      </c>
      <c r="C32" s="88">
        <f>+'conference room calc'!O32</f>
        <v>0</v>
      </c>
      <c r="D32" s="76">
        <f t="shared" si="2"/>
        <v>0</v>
      </c>
    </row>
    <row r="33" spans="1:4" ht="12.75">
      <c r="A33">
        <v>200104</v>
      </c>
      <c r="B33" s="88">
        <f>+'resold electricity calculation'!L33</f>
        <v>0</v>
      </c>
      <c r="C33" s="88">
        <f>+'conference room calc'!O33</f>
        <v>0</v>
      </c>
      <c r="D33" s="76">
        <f t="shared" si="2"/>
        <v>0</v>
      </c>
    </row>
    <row r="34" spans="1:4" ht="12.75">
      <c r="A34">
        <v>200105</v>
      </c>
      <c r="B34" s="88">
        <f>+'resold electricity calculation'!L34</f>
        <v>0</v>
      </c>
      <c r="C34" s="88">
        <f>+'conference room calc'!O34</f>
        <v>0</v>
      </c>
      <c r="D34" s="76">
        <f t="shared" si="2"/>
        <v>0</v>
      </c>
    </row>
    <row r="35" spans="1:4" ht="12.75">
      <c r="A35">
        <v>200106</v>
      </c>
      <c r="B35" s="88">
        <f>+'resold electricity calculation'!L35</f>
        <v>0</v>
      </c>
      <c r="C35" s="88">
        <f>+'conference room calc'!O35</f>
        <v>0</v>
      </c>
      <c r="D35" s="76">
        <f t="shared" si="2"/>
        <v>0</v>
      </c>
    </row>
    <row r="36" spans="1:4" ht="12.75">
      <c r="A36">
        <v>200107</v>
      </c>
      <c r="B36" s="88">
        <f>+'resold electricity calculation'!L36</f>
        <v>0</v>
      </c>
      <c r="C36" s="88">
        <f>+'conference room calc'!O36</f>
        <v>0</v>
      </c>
      <c r="D36" s="76">
        <f t="shared" si="2"/>
        <v>0</v>
      </c>
    </row>
    <row r="37" spans="1:4" ht="12.75">
      <c r="A37">
        <v>200108</v>
      </c>
      <c r="B37" s="88">
        <f>+'resold electricity calculation'!L37</f>
        <v>0</v>
      </c>
      <c r="C37" s="88">
        <f>+'conference room calc'!O37</f>
        <v>0</v>
      </c>
      <c r="D37" s="76">
        <f t="shared" si="2"/>
        <v>0</v>
      </c>
    </row>
    <row r="38" spans="1:4" ht="12.75">
      <c r="A38">
        <v>200109</v>
      </c>
      <c r="B38" s="88">
        <f>+'resold electricity calculation'!L38</f>
        <v>0</v>
      </c>
      <c r="C38" s="88">
        <f>+'conference room calc'!O38</f>
        <v>0</v>
      </c>
      <c r="D38" s="76">
        <f t="shared" si="2"/>
        <v>0</v>
      </c>
    </row>
    <row r="39" spans="1:4" ht="12.75">
      <c r="A39">
        <v>200110</v>
      </c>
      <c r="B39" s="88">
        <f>+'resold electricity calculation'!L39</f>
        <v>0</v>
      </c>
      <c r="C39" s="88">
        <f>+'conference room calc'!O39</f>
        <v>0</v>
      </c>
      <c r="D39" s="76">
        <f t="shared" si="2"/>
        <v>0</v>
      </c>
    </row>
    <row r="40" spans="1:4" ht="12.75">
      <c r="A40">
        <v>200111</v>
      </c>
      <c r="B40" s="88">
        <f>+'resold electricity calculation'!L40</f>
        <v>0</v>
      </c>
      <c r="C40" s="88">
        <f>+'conference room calc'!O40</f>
        <v>0</v>
      </c>
      <c r="D40" s="76">
        <f t="shared" si="2"/>
        <v>0</v>
      </c>
    </row>
    <row r="41" spans="1:4" ht="12.75">
      <c r="A41">
        <v>200112</v>
      </c>
      <c r="B41" s="88">
        <f>+'resold electricity calculation'!L41</f>
        <v>0</v>
      </c>
      <c r="C41" s="88">
        <f>+'conference room calc'!O41</f>
        <v>0</v>
      </c>
      <c r="D41" s="76">
        <f t="shared" si="2"/>
        <v>0</v>
      </c>
    </row>
    <row r="42" spans="1:4" ht="12.75">
      <c r="A42" t="s">
        <v>35</v>
      </c>
      <c r="B42" s="89">
        <f>+'resold electricity calculation'!L42</f>
        <v>0</v>
      </c>
      <c r="C42" s="89">
        <f>+'conference room calc'!O42</f>
        <v>0</v>
      </c>
      <c r="D42" s="77">
        <f t="shared" si="2"/>
        <v>0</v>
      </c>
    </row>
    <row r="43" spans="2:3" ht="12.75">
      <c r="B43" s="1"/>
      <c r="C43" s="1"/>
    </row>
    <row r="44" spans="1:4" ht="12.75">
      <c r="A44">
        <v>200201</v>
      </c>
      <c r="B44" s="88">
        <f>+'resold electricity calculation'!L44</f>
        <v>0</v>
      </c>
      <c r="C44" s="88">
        <f>+'conference room calc'!O44</f>
        <v>0</v>
      </c>
      <c r="D44" s="76">
        <f aca="true" t="shared" si="3" ref="D44:D56">+B44+C44</f>
        <v>0</v>
      </c>
    </row>
    <row r="45" spans="1:4" ht="12.75">
      <c r="A45">
        <v>200202</v>
      </c>
      <c r="B45" s="88">
        <f>+'resold electricity calculation'!L45</f>
        <v>0</v>
      </c>
      <c r="C45" s="88">
        <f>+'conference room calc'!O45</f>
        <v>0</v>
      </c>
      <c r="D45" s="76">
        <f t="shared" si="3"/>
        <v>0</v>
      </c>
    </row>
    <row r="46" spans="1:4" ht="12.75">
      <c r="A46">
        <v>200203</v>
      </c>
      <c r="B46" s="88">
        <f>+'resold electricity calculation'!L46</f>
        <v>0</v>
      </c>
      <c r="C46" s="88">
        <f>+'conference room calc'!O46</f>
        <v>0</v>
      </c>
      <c r="D46" s="76">
        <f t="shared" si="3"/>
        <v>0</v>
      </c>
    </row>
    <row r="47" spans="1:4" ht="12.75">
      <c r="A47">
        <v>200204</v>
      </c>
      <c r="B47" s="88">
        <f>+'resold electricity calculation'!L47</f>
        <v>0</v>
      </c>
      <c r="C47" s="88">
        <f>+'conference room calc'!O47</f>
        <v>0</v>
      </c>
      <c r="D47" s="76">
        <f t="shared" si="3"/>
        <v>0</v>
      </c>
    </row>
    <row r="48" spans="1:4" ht="12.75">
      <c r="A48">
        <v>200205</v>
      </c>
      <c r="B48" s="88">
        <f>+'resold electricity calculation'!L48</f>
        <v>0</v>
      </c>
      <c r="C48" s="88">
        <f>+'conference room calc'!O48</f>
        <v>0</v>
      </c>
      <c r="D48" s="76">
        <f t="shared" si="3"/>
        <v>0</v>
      </c>
    </row>
    <row r="49" spans="1:4" ht="12.75">
      <c r="A49">
        <v>200206</v>
      </c>
      <c r="B49" s="88">
        <f>+'resold electricity calculation'!L49</f>
        <v>0</v>
      </c>
      <c r="C49" s="88">
        <f>+'conference room calc'!O49</f>
        <v>0</v>
      </c>
      <c r="D49" s="76">
        <f t="shared" si="3"/>
        <v>0</v>
      </c>
    </row>
    <row r="50" spans="1:4" ht="12.75">
      <c r="A50">
        <v>200207</v>
      </c>
      <c r="B50" s="88">
        <f>+'resold electricity calculation'!L50</f>
        <v>0</v>
      </c>
      <c r="C50" s="88">
        <f>+'conference room calc'!O50</f>
        <v>0</v>
      </c>
      <c r="D50" s="76">
        <f t="shared" si="3"/>
        <v>0</v>
      </c>
    </row>
    <row r="51" spans="1:4" ht="12.75">
      <c r="A51">
        <v>200208</v>
      </c>
      <c r="B51" s="88">
        <f>+'resold electricity calculation'!L51</f>
        <v>0</v>
      </c>
      <c r="C51" s="88">
        <f>+'conference room calc'!O51</f>
        <v>0</v>
      </c>
      <c r="D51" s="76">
        <f t="shared" si="3"/>
        <v>0</v>
      </c>
    </row>
    <row r="52" spans="1:4" ht="12.75">
      <c r="A52">
        <v>200209</v>
      </c>
      <c r="B52" s="88">
        <f>+'resold electricity calculation'!L52</f>
        <v>0</v>
      </c>
      <c r="C52" s="88">
        <f>+'conference room calc'!O52</f>
        <v>0</v>
      </c>
      <c r="D52" s="76">
        <f t="shared" si="3"/>
        <v>0</v>
      </c>
    </row>
    <row r="53" spans="1:4" ht="12.75">
      <c r="A53">
        <v>200210</v>
      </c>
      <c r="B53" s="88">
        <f>+'resold electricity calculation'!L53</f>
        <v>0</v>
      </c>
      <c r="C53" s="88">
        <f>+'conference room calc'!O53</f>
        <v>0</v>
      </c>
      <c r="D53" s="76">
        <f t="shared" si="3"/>
        <v>0</v>
      </c>
    </row>
    <row r="54" spans="1:4" ht="12.75">
      <c r="A54">
        <v>200211</v>
      </c>
      <c r="B54" s="88">
        <f>+'resold electricity calculation'!L54</f>
        <v>0</v>
      </c>
      <c r="C54" s="88">
        <f>+'conference room calc'!O54</f>
        <v>0</v>
      </c>
      <c r="D54" s="76">
        <f t="shared" si="3"/>
        <v>0</v>
      </c>
    </row>
    <row r="55" spans="1:4" ht="12.75">
      <c r="A55">
        <v>200212</v>
      </c>
      <c r="B55" s="88">
        <f>+'resold electricity calculation'!L55</f>
        <v>0</v>
      </c>
      <c r="C55" s="88">
        <f>+'conference room calc'!O55</f>
        <v>0</v>
      </c>
      <c r="D55" s="76">
        <f t="shared" si="3"/>
        <v>0</v>
      </c>
    </row>
    <row r="56" spans="1:4" ht="12.75">
      <c r="A56" t="s">
        <v>35</v>
      </c>
      <c r="B56" s="89">
        <f>+'resold electricity calculation'!L56</f>
        <v>0</v>
      </c>
      <c r="C56" s="89">
        <f>+'conference room calc'!O56</f>
        <v>0</v>
      </c>
      <c r="D56" s="77">
        <f t="shared" si="3"/>
        <v>0</v>
      </c>
    </row>
    <row r="57" spans="2:3" ht="12.75">
      <c r="B57" s="1"/>
      <c r="C57" s="1"/>
    </row>
    <row r="58" spans="1:4" ht="12.75">
      <c r="A58">
        <v>200301</v>
      </c>
      <c r="B58" s="88">
        <f>+'resold electricity calculation'!L58</f>
        <v>0</v>
      </c>
      <c r="C58" s="88">
        <f>+'conference room calc'!O58</f>
        <v>0</v>
      </c>
      <c r="D58" s="76">
        <f aca="true" t="shared" si="4" ref="D58:D70">+B58+C58</f>
        <v>0</v>
      </c>
    </row>
    <row r="59" spans="1:4" ht="12.75">
      <c r="A59">
        <v>200302</v>
      </c>
      <c r="B59" s="88">
        <f>+'resold electricity calculation'!L59</f>
        <v>0</v>
      </c>
      <c r="C59" s="88">
        <f>+'conference room calc'!O59</f>
        <v>0</v>
      </c>
      <c r="D59" s="76">
        <f t="shared" si="4"/>
        <v>0</v>
      </c>
    </row>
    <row r="60" spans="1:4" ht="12.75">
      <c r="A60">
        <v>200303</v>
      </c>
      <c r="B60" s="88">
        <f>+'resold electricity calculation'!L60</f>
        <v>0</v>
      </c>
      <c r="C60" s="88">
        <f>+'conference room calc'!O60</f>
        <v>0</v>
      </c>
      <c r="D60" s="76">
        <f t="shared" si="4"/>
        <v>0</v>
      </c>
    </row>
    <row r="61" spans="1:4" ht="12.75">
      <c r="A61">
        <v>200304</v>
      </c>
      <c r="B61" s="88">
        <f>+'resold electricity calculation'!L61</f>
        <v>0</v>
      </c>
      <c r="C61" s="88">
        <f>+'conference room calc'!O61</f>
        <v>0</v>
      </c>
      <c r="D61" s="76">
        <f t="shared" si="4"/>
        <v>0</v>
      </c>
    </row>
    <row r="62" spans="1:4" ht="12.75">
      <c r="A62">
        <v>200305</v>
      </c>
      <c r="B62" s="88">
        <f>+'resold electricity calculation'!L62</f>
        <v>0</v>
      </c>
      <c r="C62" s="88">
        <f>+'conference room calc'!O62</f>
        <v>0</v>
      </c>
      <c r="D62" s="76">
        <f t="shared" si="4"/>
        <v>0</v>
      </c>
    </row>
    <row r="63" spans="1:4" ht="12.75">
      <c r="A63">
        <v>200306</v>
      </c>
      <c r="B63" s="88">
        <f>+'resold electricity calculation'!L63</f>
        <v>0</v>
      </c>
      <c r="C63" s="88">
        <f>+'conference room calc'!O63</f>
        <v>0</v>
      </c>
      <c r="D63" s="76">
        <f t="shared" si="4"/>
        <v>0</v>
      </c>
    </row>
    <row r="64" spans="1:4" ht="12.75">
      <c r="A64">
        <v>200307</v>
      </c>
      <c r="B64" s="88">
        <f>+'resold electricity calculation'!L64</f>
        <v>0</v>
      </c>
      <c r="C64" s="88">
        <f>+'conference room calc'!O64</f>
        <v>0</v>
      </c>
      <c r="D64" s="76">
        <f t="shared" si="4"/>
        <v>0</v>
      </c>
    </row>
    <row r="65" spans="1:4" ht="12.75">
      <c r="A65">
        <v>200308</v>
      </c>
      <c r="B65" s="88">
        <f>+'resold electricity calculation'!L65</f>
        <v>0</v>
      </c>
      <c r="C65" s="88">
        <f>+'conference room calc'!O65</f>
        <v>0</v>
      </c>
      <c r="D65" s="76">
        <f t="shared" si="4"/>
        <v>0</v>
      </c>
    </row>
    <row r="66" spans="1:4" ht="12.75">
      <c r="A66">
        <v>200309</v>
      </c>
      <c r="B66" s="88">
        <f>+'resold electricity calculation'!L66</f>
        <v>0</v>
      </c>
      <c r="C66" s="88">
        <f>+'conference room calc'!O66</f>
        <v>0</v>
      </c>
      <c r="D66" s="76">
        <f t="shared" si="4"/>
        <v>0</v>
      </c>
    </row>
    <row r="67" spans="1:4" ht="12.75">
      <c r="A67">
        <v>200310</v>
      </c>
      <c r="B67" s="88">
        <f>+'resold electricity calculation'!L67</f>
        <v>0</v>
      </c>
      <c r="C67" s="88">
        <f>+'conference room calc'!O67</f>
        <v>0</v>
      </c>
      <c r="D67" s="76">
        <f t="shared" si="4"/>
        <v>0</v>
      </c>
    </row>
    <row r="68" spans="1:4" ht="12.75">
      <c r="A68">
        <v>200311</v>
      </c>
      <c r="B68" s="88">
        <f>+'resold electricity calculation'!L68</f>
        <v>0</v>
      </c>
      <c r="C68" s="88">
        <f>+'conference room calc'!O68</f>
        <v>0</v>
      </c>
      <c r="D68" s="76">
        <f t="shared" si="4"/>
        <v>0</v>
      </c>
    </row>
    <row r="69" spans="1:4" ht="12.75">
      <c r="A69">
        <v>200312</v>
      </c>
      <c r="B69" s="88">
        <f>+'resold electricity calculation'!L69</f>
        <v>0</v>
      </c>
      <c r="C69" s="88">
        <f>+'conference room calc'!O69</f>
        <v>0</v>
      </c>
      <c r="D69" s="76">
        <f t="shared" si="4"/>
        <v>0</v>
      </c>
    </row>
    <row r="70" spans="1:4" ht="12.75">
      <c r="A70" t="s">
        <v>35</v>
      </c>
      <c r="B70" s="89">
        <f>+'resold electricity calculation'!L70</f>
        <v>0</v>
      </c>
      <c r="C70" s="89">
        <f>+'conference room calc'!O70</f>
        <v>0</v>
      </c>
      <c r="D70" s="77">
        <f t="shared" si="4"/>
        <v>0</v>
      </c>
    </row>
    <row r="71" spans="2:3" ht="12.75">
      <c r="B71" s="1"/>
      <c r="C71" s="1"/>
    </row>
    <row r="72" spans="1:4" ht="12.75">
      <c r="A72">
        <v>200401</v>
      </c>
      <c r="B72" s="88">
        <f>+'resold electricity calculation'!L72</f>
        <v>0</v>
      </c>
      <c r="C72" s="88">
        <f>+'conference room calc'!O72</f>
        <v>0</v>
      </c>
      <c r="D72" s="76">
        <f aca="true" t="shared" si="5" ref="D72:D84">+B72+C72</f>
        <v>0</v>
      </c>
    </row>
    <row r="73" spans="1:4" ht="12.75">
      <c r="A73">
        <v>200402</v>
      </c>
      <c r="B73" s="88">
        <f>+'resold electricity calculation'!L73</f>
        <v>0</v>
      </c>
      <c r="C73" s="88">
        <f>+'conference room calc'!O73</f>
        <v>0</v>
      </c>
      <c r="D73" s="76">
        <f t="shared" si="5"/>
        <v>0</v>
      </c>
    </row>
    <row r="74" spans="1:4" ht="12.75">
      <c r="A74">
        <v>200403</v>
      </c>
      <c r="B74" s="88">
        <f>+'resold electricity calculation'!L74</f>
        <v>0</v>
      </c>
      <c r="C74" s="88">
        <f>+'conference room calc'!O74</f>
        <v>0</v>
      </c>
      <c r="D74" s="76">
        <f t="shared" si="5"/>
        <v>0</v>
      </c>
    </row>
    <row r="75" spans="1:4" ht="12.75">
      <c r="A75">
        <v>200404</v>
      </c>
      <c r="B75" s="88">
        <f>+'resold electricity calculation'!L75</f>
        <v>0</v>
      </c>
      <c r="C75" s="88">
        <f>+'conference room calc'!O75</f>
        <v>0</v>
      </c>
      <c r="D75" s="76">
        <f t="shared" si="5"/>
        <v>0</v>
      </c>
    </row>
    <row r="76" spans="1:4" ht="12.75">
      <c r="A76">
        <v>200405</v>
      </c>
      <c r="B76" s="88">
        <f>+'resold electricity calculation'!L76</f>
        <v>0</v>
      </c>
      <c r="C76" s="88">
        <f>+'conference room calc'!O76</f>
        <v>0</v>
      </c>
      <c r="D76" s="76">
        <f t="shared" si="5"/>
        <v>0</v>
      </c>
    </row>
    <row r="77" spans="1:4" ht="12.75">
      <c r="A77">
        <v>200406</v>
      </c>
      <c r="B77" s="88">
        <f>+'resold electricity calculation'!L77</f>
        <v>0</v>
      </c>
      <c r="C77" s="88">
        <f>+'conference room calc'!O77</f>
        <v>0</v>
      </c>
      <c r="D77" s="76">
        <f t="shared" si="5"/>
        <v>0</v>
      </c>
    </row>
    <row r="78" spans="1:4" ht="12.75">
      <c r="A78">
        <v>200407</v>
      </c>
      <c r="B78" s="88">
        <f>+'resold electricity calculation'!L78</f>
        <v>0</v>
      </c>
      <c r="C78" s="88">
        <f>+'conference room calc'!O78</f>
        <v>0</v>
      </c>
      <c r="D78" s="76">
        <f t="shared" si="5"/>
        <v>0</v>
      </c>
    </row>
    <row r="79" spans="1:4" ht="12.75">
      <c r="A79">
        <v>200408</v>
      </c>
      <c r="B79" s="88">
        <f>+'resold electricity calculation'!L79</f>
        <v>0</v>
      </c>
      <c r="C79" s="88">
        <f>+'conference room calc'!O79</f>
        <v>0</v>
      </c>
      <c r="D79" s="76">
        <f t="shared" si="5"/>
        <v>0</v>
      </c>
    </row>
    <row r="80" spans="1:4" ht="12.75">
      <c r="A80">
        <v>200409</v>
      </c>
      <c r="B80" s="88">
        <f>+'resold electricity calculation'!L80</f>
        <v>0</v>
      </c>
      <c r="C80" s="88">
        <f>+'conference room calc'!O80</f>
        <v>0</v>
      </c>
      <c r="D80" s="76">
        <f t="shared" si="5"/>
        <v>0</v>
      </c>
    </row>
    <row r="81" spans="1:4" ht="12.75">
      <c r="A81">
        <v>200410</v>
      </c>
      <c r="B81" s="88">
        <f>+'resold electricity calculation'!L81</f>
        <v>0</v>
      </c>
      <c r="C81" s="88">
        <f>+'conference room calc'!O81</f>
        <v>0</v>
      </c>
      <c r="D81" s="76">
        <f t="shared" si="5"/>
        <v>0</v>
      </c>
    </row>
    <row r="82" spans="1:4" ht="12.75">
      <c r="A82">
        <v>200411</v>
      </c>
      <c r="B82" s="88">
        <f>+'resold electricity calculation'!L82</f>
        <v>0</v>
      </c>
      <c r="C82" s="88">
        <f>+'conference room calc'!O82</f>
        <v>0</v>
      </c>
      <c r="D82" s="76">
        <f t="shared" si="5"/>
        <v>0</v>
      </c>
    </row>
    <row r="83" spans="1:4" ht="12.75">
      <c r="A83">
        <v>200412</v>
      </c>
      <c r="B83" s="88">
        <f>+'resold electricity calculation'!L83</f>
        <v>0</v>
      </c>
      <c r="C83" s="88">
        <f>+'conference room calc'!O83</f>
        <v>0</v>
      </c>
      <c r="D83" s="76">
        <f t="shared" si="5"/>
        <v>0</v>
      </c>
    </row>
    <row r="84" spans="1:4" ht="12.75">
      <c r="A84" t="s">
        <v>35</v>
      </c>
      <c r="B84" s="89">
        <f>+'resold electricity calculation'!L84</f>
        <v>0</v>
      </c>
      <c r="C84" s="89">
        <f>+'conference room calc'!O84</f>
        <v>0</v>
      </c>
      <c r="D84" s="77">
        <f t="shared" si="5"/>
        <v>0</v>
      </c>
    </row>
    <row r="85" spans="2:3" ht="12.75">
      <c r="B85" s="1"/>
      <c r="C85" s="1"/>
    </row>
    <row r="86" spans="1:4" ht="12.75">
      <c r="A86">
        <v>200501</v>
      </c>
      <c r="B86" s="88">
        <f>+'resold electricity calculation'!L86</f>
        <v>0</v>
      </c>
      <c r="C86" s="88">
        <f>+'conference room calc'!O86</f>
        <v>0</v>
      </c>
      <c r="D86" s="76">
        <f aca="true" t="shared" si="6" ref="D86:D98">+B86+C86</f>
        <v>0</v>
      </c>
    </row>
    <row r="87" spans="1:4" ht="12.75">
      <c r="A87">
        <v>200502</v>
      </c>
      <c r="B87" s="88">
        <f>+'resold electricity calculation'!L87</f>
        <v>0</v>
      </c>
      <c r="C87" s="88">
        <f>+'conference room calc'!O87</f>
        <v>0</v>
      </c>
      <c r="D87" s="76">
        <f t="shared" si="6"/>
        <v>0</v>
      </c>
    </row>
    <row r="88" spans="1:4" ht="12.75">
      <c r="A88">
        <v>200503</v>
      </c>
      <c r="B88" s="88">
        <f>+'resold electricity calculation'!L88</f>
        <v>0</v>
      </c>
      <c r="C88" s="88">
        <f>+'conference room calc'!O88</f>
        <v>0</v>
      </c>
      <c r="D88" s="76">
        <f t="shared" si="6"/>
        <v>0</v>
      </c>
    </row>
    <row r="89" spans="1:4" ht="12.75">
      <c r="A89">
        <v>200504</v>
      </c>
      <c r="B89" s="88">
        <f>+'resold electricity calculation'!L89</f>
        <v>0</v>
      </c>
      <c r="C89" s="88">
        <f>+'conference room calc'!O89</f>
        <v>0</v>
      </c>
      <c r="D89" s="76">
        <f t="shared" si="6"/>
        <v>0</v>
      </c>
    </row>
    <row r="90" spans="1:4" ht="12.75">
      <c r="A90">
        <v>200505</v>
      </c>
      <c r="B90" s="88">
        <f>+'resold electricity calculation'!L90</f>
        <v>0</v>
      </c>
      <c r="C90" s="88">
        <f>+'conference room calc'!O90</f>
        <v>0</v>
      </c>
      <c r="D90" s="76">
        <f t="shared" si="6"/>
        <v>0</v>
      </c>
    </row>
    <row r="91" spans="1:4" ht="12.75">
      <c r="A91">
        <v>200506</v>
      </c>
      <c r="B91" s="88">
        <f>+'resold electricity calculation'!L91</f>
        <v>0</v>
      </c>
      <c r="C91" s="88">
        <f>+'conference room calc'!O91</f>
        <v>0</v>
      </c>
      <c r="D91" s="76">
        <f t="shared" si="6"/>
        <v>0</v>
      </c>
    </row>
    <row r="92" spans="1:4" ht="12.75">
      <c r="A92">
        <v>200507</v>
      </c>
      <c r="B92" s="88">
        <f>+'resold electricity calculation'!L92</f>
        <v>0</v>
      </c>
      <c r="C92" s="88">
        <f>+'conference room calc'!O92</f>
        <v>0</v>
      </c>
      <c r="D92" s="76">
        <f t="shared" si="6"/>
        <v>0</v>
      </c>
    </row>
    <row r="93" spans="1:4" ht="12.75">
      <c r="A93">
        <v>200508</v>
      </c>
      <c r="B93" s="88">
        <f>+'resold electricity calculation'!L93</f>
        <v>0</v>
      </c>
      <c r="C93" s="88">
        <f>+'conference room calc'!O93</f>
        <v>0</v>
      </c>
      <c r="D93" s="76">
        <f t="shared" si="6"/>
        <v>0</v>
      </c>
    </row>
    <row r="94" spans="1:4" ht="12.75">
      <c r="A94">
        <v>200509</v>
      </c>
      <c r="B94" s="88">
        <f>+'resold electricity calculation'!L94</f>
        <v>0</v>
      </c>
      <c r="C94" s="88">
        <f>+'conference room calc'!O94</f>
        <v>0</v>
      </c>
      <c r="D94" s="76">
        <f t="shared" si="6"/>
        <v>0</v>
      </c>
    </row>
    <row r="95" spans="1:4" ht="12.75">
      <c r="A95">
        <v>200510</v>
      </c>
      <c r="B95" s="88">
        <f>+'resold electricity calculation'!L95</f>
        <v>0</v>
      </c>
      <c r="C95" s="88">
        <f>+'conference room calc'!O95</f>
        <v>0</v>
      </c>
      <c r="D95" s="76">
        <f t="shared" si="6"/>
        <v>0</v>
      </c>
    </row>
    <row r="96" spans="1:4" ht="12.75">
      <c r="A96">
        <v>200511</v>
      </c>
      <c r="B96" s="88">
        <f>+'resold electricity calculation'!L96</f>
        <v>0</v>
      </c>
      <c r="C96" s="88">
        <f>+'conference room calc'!O96</f>
        <v>0</v>
      </c>
      <c r="D96" s="76">
        <f t="shared" si="6"/>
        <v>0</v>
      </c>
    </row>
    <row r="97" spans="1:4" ht="12.75">
      <c r="A97">
        <v>200512</v>
      </c>
      <c r="B97" s="88">
        <f>+'resold electricity calculation'!L97</f>
        <v>0</v>
      </c>
      <c r="C97" s="88">
        <f>+'conference room calc'!O97</f>
        <v>0</v>
      </c>
      <c r="D97" s="76">
        <f t="shared" si="6"/>
        <v>0</v>
      </c>
    </row>
    <row r="98" spans="1:4" ht="12.75">
      <c r="A98" t="s">
        <v>35</v>
      </c>
      <c r="B98" s="89">
        <f>+'resold electricity calculation'!L98</f>
        <v>0</v>
      </c>
      <c r="C98" s="89">
        <f>+'conference room calc'!O98</f>
        <v>0</v>
      </c>
      <c r="D98" s="77">
        <f t="shared" si="6"/>
        <v>0</v>
      </c>
    </row>
    <row r="99" spans="2:4" ht="12.75">
      <c r="B99" s="97"/>
      <c r="C99" s="97"/>
      <c r="D99" s="96"/>
    </row>
    <row r="100" spans="1:4" ht="12.75">
      <c r="A100">
        <v>200601</v>
      </c>
      <c r="B100" s="88">
        <f>+'resold electricity calculation'!L100</f>
        <v>0</v>
      </c>
      <c r="C100" s="88">
        <f>+'conference room calc'!O100</f>
        <v>0</v>
      </c>
      <c r="D100" s="76">
        <f aca="true" t="shared" si="7" ref="D100:D105">+B100+C100</f>
        <v>0</v>
      </c>
    </row>
    <row r="101" spans="1:4" ht="12.75">
      <c r="A101">
        <v>200602</v>
      </c>
      <c r="B101" s="88">
        <f>+'resold electricity calculation'!L101</f>
        <v>0</v>
      </c>
      <c r="C101" s="88">
        <f>+'conference room calc'!O101</f>
        <v>0</v>
      </c>
      <c r="D101" s="76">
        <f t="shared" si="7"/>
        <v>0</v>
      </c>
    </row>
    <row r="102" spans="1:4" ht="12.75">
      <c r="A102">
        <v>200603</v>
      </c>
      <c r="B102" s="88">
        <f>+'resold electricity calculation'!L102</f>
        <v>0</v>
      </c>
      <c r="C102" s="88">
        <f>+'conference room calc'!O102</f>
        <v>0</v>
      </c>
      <c r="D102" s="76">
        <f t="shared" si="7"/>
        <v>0</v>
      </c>
    </row>
    <row r="103" spans="1:4" ht="12.75">
      <c r="A103">
        <v>200604</v>
      </c>
      <c r="B103" s="88">
        <f>+'resold electricity calculation'!L103</f>
        <v>0</v>
      </c>
      <c r="C103" s="88">
        <f>+'conference room calc'!O103</f>
        <v>0</v>
      </c>
      <c r="D103" s="76">
        <f t="shared" si="7"/>
        <v>0</v>
      </c>
    </row>
    <row r="104" spans="1:4" ht="12.75">
      <c r="A104">
        <v>200605</v>
      </c>
      <c r="B104" s="88">
        <f>+'resold electricity calculation'!L104</f>
        <v>0</v>
      </c>
      <c r="C104" s="88">
        <f>+'conference room calc'!O104</f>
        <v>0</v>
      </c>
      <c r="D104" s="76">
        <f t="shared" si="7"/>
        <v>0</v>
      </c>
    </row>
    <row r="105" spans="1:4" ht="12.75">
      <c r="A105" t="s">
        <v>35</v>
      </c>
      <c r="B105" s="89">
        <f>+'resold electricity calculation'!L105</f>
        <v>0</v>
      </c>
      <c r="C105" s="89">
        <f>+'conference room calc'!O105</f>
        <v>0</v>
      </c>
      <c r="D105" s="77">
        <f t="shared" si="7"/>
        <v>0</v>
      </c>
    </row>
    <row r="106" spans="2:3" ht="12.75">
      <c r="B106" s="1"/>
      <c r="C106" s="1"/>
    </row>
    <row r="107" spans="1:4" ht="13.5" thickBot="1">
      <c r="A107" t="s">
        <v>230</v>
      </c>
      <c r="B107" s="90">
        <f>+'resold electricity calculation'!L107</f>
        <v>0</v>
      </c>
      <c r="C107" s="90">
        <f>+'conference room calc'!O107</f>
        <v>0</v>
      </c>
      <c r="D107" s="91">
        <f>+B107+C107</f>
        <v>0</v>
      </c>
    </row>
    <row r="108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xSplit="7" ySplit="25" topLeftCell="H26" activePane="bottomRight" state="frozen"/>
      <selection pane="topLeft" activeCell="A1" sqref="A1"/>
      <selection pane="topRight" activeCell="H1" sqref="H1"/>
      <selection pane="bottomLeft" activeCell="A26" sqref="A26"/>
      <selection pane="bottomRight" activeCell="A25" sqref="A25"/>
    </sheetView>
  </sheetViews>
  <sheetFormatPr defaultColWidth="9.140625" defaultRowHeight="12.75"/>
  <cols>
    <col min="1" max="1" width="13.7109375" style="0" bestFit="1" customWidth="1"/>
    <col min="2" max="2" width="16.57421875" style="1" bestFit="1" customWidth="1"/>
    <col min="3" max="3" width="7.28125" style="0" customWidth="1"/>
    <col min="4" max="4" width="19.421875" style="1" bestFit="1" customWidth="1"/>
    <col min="5" max="5" width="7.00390625" style="0" customWidth="1"/>
    <col min="6" max="6" width="16.00390625" style="1" bestFit="1" customWidth="1"/>
    <col min="7" max="7" width="9.7109375" style="0" customWidth="1"/>
    <col min="8" max="8" width="3.7109375" style="0" customWidth="1"/>
    <col min="10" max="10" width="10.28125" style="15" customWidth="1"/>
    <col min="11" max="11" width="9.140625" style="15" customWidth="1"/>
    <col min="12" max="12" width="9.7109375" style="76" customWidth="1"/>
    <col min="13" max="13" width="9.140625" style="81" customWidth="1"/>
    <col min="14" max="14" width="9.140625" style="76" customWidth="1"/>
    <col min="15" max="15" width="3.8515625" style="0" customWidth="1"/>
    <col min="16" max="16" width="15.28125" style="0" customWidth="1"/>
  </cols>
  <sheetData>
    <row r="1" spans="1:14" ht="38.25">
      <c r="A1" s="51" t="s">
        <v>95</v>
      </c>
      <c r="B1" s="52"/>
      <c r="I1" s="49" t="s">
        <v>34</v>
      </c>
      <c r="J1" s="78" t="str">
        <f>+'resold electricity calculation'!H1</f>
        <v>Guest Rooms Rented</v>
      </c>
      <c r="K1" s="78" t="s">
        <v>96</v>
      </c>
      <c r="L1" s="75" t="s">
        <v>97</v>
      </c>
      <c r="M1" s="82" t="str">
        <f>+'resold electricity calculation'!K1</f>
        <v>your sales tax rate</v>
      </c>
      <c r="N1" s="75" t="s">
        <v>75</v>
      </c>
    </row>
    <row r="2" spans="2:16" ht="12.75">
      <c r="B2" s="1" t="s">
        <v>99</v>
      </c>
      <c r="D2" s="1" t="s">
        <v>100</v>
      </c>
      <c r="F2" s="1" t="s">
        <v>18</v>
      </c>
      <c r="I2">
        <v>199901</v>
      </c>
      <c r="J2" s="15">
        <f>+'resold electricity calculation'!H2</f>
        <v>0</v>
      </c>
      <c r="K2" s="15">
        <f>ROUND(J2*$F$15,0)</f>
        <v>0</v>
      </c>
      <c r="L2" s="76">
        <f aca="true" t="shared" si="0" ref="L2:L13">ROUND(K2*$G$17,2)</f>
        <v>0</v>
      </c>
      <c r="M2" s="81">
        <f>+'resold electricity calculation'!K2</f>
        <v>0</v>
      </c>
      <c r="N2" s="76">
        <f>ROUND(L2*M2,2)</f>
        <v>0</v>
      </c>
      <c r="P2">
        <f>+'Hotel info sheet'!B2</f>
        <v>0</v>
      </c>
    </row>
    <row r="3" spans="1:16" ht="12.75">
      <c r="A3" t="s">
        <v>15</v>
      </c>
      <c r="B3" s="1">
        <v>1</v>
      </c>
      <c r="C3" s="7"/>
      <c r="D3" s="8">
        <v>2</v>
      </c>
      <c r="F3" s="1">
        <f>ROUND(B3*D3,0)</f>
        <v>2</v>
      </c>
      <c r="I3">
        <v>199902</v>
      </c>
      <c r="J3" s="15">
        <f>+'resold electricity calculation'!H3</f>
        <v>0</v>
      </c>
      <c r="K3" s="15">
        <f aca="true" t="shared" si="1" ref="K3:K13">ROUND(J3*$F$15,0)</f>
        <v>0</v>
      </c>
      <c r="L3" s="76">
        <f t="shared" si="0"/>
        <v>0</v>
      </c>
      <c r="M3" s="81">
        <f>+'resold electricity calculation'!K3</f>
        <v>0</v>
      </c>
      <c r="N3" s="76">
        <f aca="true" t="shared" si="2" ref="N3:N13">ROUND(L3*M3,2)</f>
        <v>0</v>
      </c>
      <c r="P3">
        <f>+'Hotel info sheet'!B4</f>
        <v>0</v>
      </c>
    </row>
    <row r="4" spans="4:16" ht="12.75">
      <c r="D4" s="9"/>
      <c r="I4">
        <v>199903</v>
      </c>
      <c r="J4" s="15">
        <f>+'resold electricity calculation'!H4</f>
        <v>0</v>
      </c>
      <c r="K4" s="15">
        <f t="shared" si="1"/>
        <v>0</v>
      </c>
      <c r="L4" s="76">
        <f t="shared" si="0"/>
        <v>0</v>
      </c>
      <c r="M4" s="81">
        <f>+'resold electricity calculation'!K4</f>
        <v>0</v>
      </c>
      <c r="N4" s="76">
        <f t="shared" si="2"/>
        <v>0</v>
      </c>
      <c r="P4">
        <f>+'Hotel info sheet'!B10</f>
        <v>0</v>
      </c>
    </row>
    <row r="5" spans="2:14" ht="12.75">
      <c r="B5" s="1" t="s">
        <v>101</v>
      </c>
      <c r="D5" s="1" t="s">
        <v>103</v>
      </c>
      <c r="F5" s="1" t="s">
        <v>18</v>
      </c>
      <c r="I5">
        <v>199904</v>
      </c>
      <c r="J5" s="15">
        <f>+'resold electricity calculation'!H5</f>
        <v>0</v>
      </c>
      <c r="K5" s="15">
        <f t="shared" si="1"/>
        <v>0</v>
      </c>
      <c r="L5" s="76">
        <f t="shared" si="0"/>
        <v>0</v>
      </c>
      <c r="M5" s="81">
        <f>+'resold electricity calculation'!K5</f>
        <v>0</v>
      </c>
      <c r="N5" s="76">
        <f t="shared" si="2"/>
        <v>0</v>
      </c>
    </row>
    <row r="6" spans="1:14" ht="12.75">
      <c r="A6" t="s">
        <v>16</v>
      </c>
      <c r="B6" s="1">
        <v>9</v>
      </c>
      <c r="D6" s="8">
        <v>1.5</v>
      </c>
      <c r="F6" s="1">
        <f>ROUND(B6*D6,0)</f>
        <v>14</v>
      </c>
      <c r="I6">
        <v>199905</v>
      </c>
      <c r="J6" s="15">
        <f>+'resold electricity calculation'!H6</f>
        <v>0</v>
      </c>
      <c r="K6" s="15">
        <f t="shared" si="1"/>
        <v>0</v>
      </c>
      <c r="L6" s="76">
        <f t="shared" si="0"/>
        <v>0</v>
      </c>
      <c r="M6" s="81">
        <f>+'resold electricity calculation'!K6</f>
        <v>0</v>
      </c>
      <c r="N6" s="76">
        <f t="shared" si="2"/>
        <v>0</v>
      </c>
    </row>
    <row r="7" spans="9:14" ht="12.75">
      <c r="I7">
        <v>199906</v>
      </c>
      <c r="J7" s="15">
        <f>+'resold electricity calculation'!H7</f>
        <v>0</v>
      </c>
      <c r="K7" s="15">
        <f t="shared" si="1"/>
        <v>0</v>
      </c>
      <c r="L7" s="76">
        <f t="shared" si="0"/>
        <v>0</v>
      </c>
      <c r="M7" s="81">
        <f>+'resold electricity calculation'!K7</f>
        <v>0</v>
      </c>
      <c r="N7" s="76">
        <f t="shared" si="2"/>
        <v>0</v>
      </c>
    </row>
    <row r="8" spans="2:14" ht="12.75">
      <c r="B8" s="1" t="s">
        <v>190</v>
      </c>
      <c r="D8" s="1" t="s">
        <v>104</v>
      </c>
      <c r="F8" s="1" t="s">
        <v>18</v>
      </c>
      <c r="I8">
        <v>199907</v>
      </c>
      <c r="J8" s="15">
        <f>+'resold electricity calculation'!H8</f>
        <v>0</v>
      </c>
      <c r="K8" s="15">
        <f t="shared" si="1"/>
        <v>0</v>
      </c>
      <c r="L8" s="76">
        <f t="shared" si="0"/>
        <v>0</v>
      </c>
      <c r="M8" s="81">
        <f>+'resold electricity calculation'!K8</f>
        <v>0</v>
      </c>
      <c r="N8" s="76">
        <f t="shared" si="2"/>
        <v>0</v>
      </c>
    </row>
    <row r="9" spans="1:14" ht="12.75">
      <c r="A9" t="s">
        <v>17</v>
      </c>
      <c r="B9" s="1">
        <v>3</v>
      </c>
      <c r="D9" s="8">
        <v>1.6</v>
      </c>
      <c r="F9" s="1">
        <f>ROUND(B9*D9,0)</f>
        <v>5</v>
      </c>
      <c r="I9">
        <v>199908</v>
      </c>
      <c r="J9" s="15">
        <f>+'resold electricity calculation'!H9</f>
        <v>0</v>
      </c>
      <c r="K9" s="15">
        <f t="shared" si="1"/>
        <v>0</v>
      </c>
      <c r="L9" s="76">
        <f t="shared" si="0"/>
        <v>0</v>
      </c>
      <c r="M9" s="81">
        <f>+'resold electricity calculation'!K9</f>
        <v>0</v>
      </c>
      <c r="N9" s="76">
        <f t="shared" si="2"/>
        <v>0</v>
      </c>
    </row>
    <row r="10" spans="9:14" ht="12.75">
      <c r="I10">
        <v>199909</v>
      </c>
      <c r="J10" s="15">
        <f>+'resold electricity calculation'!H10</f>
        <v>0</v>
      </c>
      <c r="K10" s="15">
        <f t="shared" si="1"/>
        <v>0</v>
      </c>
      <c r="L10" s="76">
        <f t="shared" si="0"/>
        <v>0</v>
      </c>
      <c r="M10" s="81">
        <f>+'resold electricity calculation'!K10</f>
        <v>0</v>
      </c>
      <c r="N10" s="76">
        <f t="shared" si="2"/>
        <v>0</v>
      </c>
    </row>
    <row r="11" spans="9:14" ht="12.75">
      <c r="I11">
        <v>199910</v>
      </c>
      <c r="J11" s="15">
        <f>+'resold electricity calculation'!H11</f>
        <v>0</v>
      </c>
      <c r="K11" s="15">
        <f t="shared" si="1"/>
        <v>0</v>
      </c>
      <c r="L11" s="76">
        <f t="shared" si="0"/>
        <v>0</v>
      </c>
      <c r="M11" s="81">
        <f>+'resold electricity calculation'!K11</f>
        <v>0</v>
      </c>
      <c r="N11" s="76">
        <f t="shared" si="2"/>
        <v>0</v>
      </c>
    </row>
    <row r="12" spans="9:14" ht="12.75">
      <c r="I12">
        <v>199911</v>
      </c>
      <c r="J12" s="15">
        <f>+'resold electricity calculation'!H12</f>
        <v>0</v>
      </c>
      <c r="K12" s="15">
        <f t="shared" si="1"/>
        <v>0</v>
      </c>
      <c r="L12" s="76">
        <f t="shared" si="0"/>
        <v>0</v>
      </c>
      <c r="M12" s="81">
        <f>+'resold electricity calculation'!K12</f>
        <v>0</v>
      </c>
      <c r="N12" s="76">
        <f t="shared" si="2"/>
        <v>0</v>
      </c>
    </row>
    <row r="13" spans="5:14" ht="12.75">
      <c r="E13" s="10" t="s">
        <v>121</v>
      </c>
      <c r="F13" s="11">
        <f>+F3+F6+F9</f>
        <v>21</v>
      </c>
      <c r="I13">
        <v>199912</v>
      </c>
      <c r="J13" s="15">
        <f>+'resold electricity calculation'!H13</f>
        <v>0</v>
      </c>
      <c r="K13" s="15">
        <f t="shared" si="1"/>
        <v>0</v>
      </c>
      <c r="L13" s="76">
        <f t="shared" si="0"/>
        <v>0</v>
      </c>
      <c r="M13" s="81">
        <f>+'resold electricity calculation'!K13</f>
        <v>0</v>
      </c>
      <c r="N13" s="76">
        <f t="shared" si="2"/>
        <v>0</v>
      </c>
    </row>
    <row r="14" spans="9:14" ht="12.75">
      <c r="I14" t="s">
        <v>35</v>
      </c>
      <c r="J14" s="16">
        <f>SUM(J2:J13)</f>
        <v>0</v>
      </c>
      <c r="K14" s="16">
        <f>SUM(K2:K13)</f>
        <v>0</v>
      </c>
      <c r="L14" s="77">
        <f>SUM(L2:L13)</f>
        <v>0</v>
      </c>
      <c r="N14" s="77">
        <f>SUM(N2:N13)</f>
        <v>0</v>
      </c>
    </row>
    <row r="15" spans="5:6" ht="12.75">
      <c r="E15" s="10" t="s">
        <v>120</v>
      </c>
      <c r="F15" s="79">
        <f>ROUND(F13/748,6)</f>
        <v>0.028075</v>
      </c>
    </row>
    <row r="16" spans="9:14" ht="12.75">
      <c r="I16">
        <v>200001</v>
      </c>
      <c r="J16" s="15">
        <f>+'resold electricity calculation'!H16</f>
        <v>0</v>
      </c>
      <c r="K16" s="15">
        <f aca="true" t="shared" si="3" ref="K16:K27">ROUND(J16*$F$15,0)</f>
        <v>0</v>
      </c>
      <c r="L16" s="76">
        <f>ROUND(K16*$G$18,2)</f>
        <v>0</v>
      </c>
      <c r="M16" s="81">
        <f>+'resold electricity calculation'!K16</f>
        <v>0</v>
      </c>
      <c r="N16" s="76">
        <f aca="true" t="shared" si="4" ref="N16:N27">ROUND(L16*M16,2)</f>
        <v>0</v>
      </c>
    </row>
    <row r="17" spans="6:14" ht="12.75">
      <c r="F17" s="10" t="s">
        <v>215</v>
      </c>
      <c r="G17" s="48"/>
      <c r="I17">
        <v>200002</v>
      </c>
      <c r="J17" s="15">
        <f>+'resold electricity calculation'!H17</f>
        <v>0</v>
      </c>
      <c r="K17" s="15">
        <f t="shared" si="3"/>
        <v>0</v>
      </c>
      <c r="L17" s="76">
        <f aca="true" t="shared" si="5" ref="L17:L27">ROUND(K17*$G$18,2)</f>
        <v>0</v>
      </c>
      <c r="M17" s="81">
        <f>+'resold electricity calculation'!K17</f>
        <v>0</v>
      </c>
      <c r="N17" s="76">
        <f t="shared" si="4"/>
        <v>0</v>
      </c>
    </row>
    <row r="18" spans="1:14" ht="12.75">
      <c r="A18" t="s">
        <v>189</v>
      </c>
      <c r="F18" s="10" t="s">
        <v>216</v>
      </c>
      <c r="G18" s="48"/>
      <c r="I18">
        <v>200003</v>
      </c>
      <c r="J18" s="15">
        <f>+'resold electricity calculation'!H18</f>
        <v>0</v>
      </c>
      <c r="K18" s="15">
        <f t="shared" si="3"/>
        <v>0</v>
      </c>
      <c r="L18" s="76">
        <f t="shared" si="5"/>
        <v>0</v>
      </c>
      <c r="M18" s="81">
        <f>+'resold electricity calculation'!K18</f>
        <v>0</v>
      </c>
      <c r="N18" s="76">
        <f t="shared" si="4"/>
        <v>0</v>
      </c>
    </row>
    <row r="19" spans="1:14" ht="12.75">
      <c r="A19" t="s">
        <v>102</v>
      </c>
      <c r="F19" s="10" t="s">
        <v>217</v>
      </c>
      <c r="G19" s="48"/>
      <c r="I19">
        <v>200004</v>
      </c>
      <c r="J19" s="15">
        <f>+'resold electricity calculation'!H19</f>
        <v>0</v>
      </c>
      <c r="K19" s="15">
        <f t="shared" si="3"/>
        <v>0</v>
      </c>
      <c r="L19" s="76">
        <f t="shared" si="5"/>
        <v>0</v>
      </c>
      <c r="M19" s="81">
        <f>+'resold electricity calculation'!K19</f>
        <v>0</v>
      </c>
      <c r="N19" s="76">
        <f t="shared" si="4"/>
        <v>0</v>
      </c>
    </row>
    <row r="20" spans="1:14" ht="12.75">
      <c r="A20" t="s">
        <v>214</v>
      </c>
      <c r="F20" s="10" t="s">
        <v>218</v>
      </c>
      <c r="G20" s="48"/>
      <c r="I20">
        <v>200005</v>
      </c>
      <c r="J20" s="15">
        <f>+'resold electricity calculation'!H20</f>
        <v>0</v>
      </c>
      <c r="K20" s="15">
        <f t="shared" si="3"/>
        <v>0</v>
      </c>
      <c r="L20" s="76">
        <f t="shared" si="5"/>
        <v>0</v>
      </c>
      <c r="M20" s="81">
        <f>+'resold electricity calculation'!K20</f>
        <v>0</v>
      </c>
      <c r="N20" s="76">
        <f t="shared" si="4"/>
        <v>0</v>
      </c>
    </row>
    <row r="21" spans="1:14" ht="12.75">
      <c r="A21" t="s">
        <v>212</v>
      </c>
      <c r="F21" s="10" t="s">
        <v>219</v>
      </c>
      <c r="G21" s="48"/>
      <c r="I21">
        <v>200006</v>
      </c>
      <c r="J21" s="15">
        <f>+'resold electricity calculation'!H21</f>
        <v>0</v>
      </c>
      <c r="K21" s="15">
        <f t="shared" si="3"/>
        <v>0</v>
      </c>
      <c r="L21" s="76">
        <f t="shared" si="5"/>
        <v>0</v>
      </c>
      <c r="M21" s="81">
        <f>+'resold electricity calculation'!K21</f>
        <v>0</v>
      </c>
      <c r="N21" s="76">
        <f t="shared" si="4"/>
        <v>0</v>
      </c>
    </row>
    <row r="22" spans="1:14" ht="12.75">
      <c r="A22" t="s">
        <v>213</v>
      </c>
      <c r="F22" s="10" t="s">
        <v>220</v>
      </c>
      <c r="G22" s="48"/>
      <c r="I22">
        <v>200007</v>
      </c>
      <c r="J22" s="15">
        <f>+'resold electricity calculation'!H22</f>
        <v>0</v>
      </c>
      <c r="K22" s="15">
        <f t="shared" si="3"/>
        <v>0</v>
      </c>
      <c r="L22" s="76">
        <f t="shared" si="5"/>
        <v>0</v>
      </c>
      <c r="M22" s="81">
        <f>+'resold electricity calculation'!K22</f>
        <v>0</v>
      </c>
      <c r="N22" s="76">
        <f t="shared" si="4"/>
        <v>0</v>
      </c>
    </row>
    <row r="23" spans="1:14" ht="12.75">
      <c r="A23" t="s">
        <v>106</v>
      </c>
      <c r="F23" s="10" t="s">
        <v>221</v>
      </c>
      <c r="G23" s="48"/>
      <c r="I23">
        <v>200008</v>
      </c>
      <c r="J23" s="15">
        <f>+'resold electricity calculation'!H23</f>
        <v>0</v>
      </c>
      <c r="K23" s="15">
        <f t="shared" si="3"/>
        <v>0</v>
      </c>
      <c r="L23" s="76">
        <f t="shared" si="5"/>
        <v>0</v>
      </c>
      <c r="M23" s="81">
        <f>+'resold electricity calculation'!K23</f>
        <v>0</v>
      </c>
      <c r="N23" s="76">
        <f t="shared" si="4"/>
        <v>0</v>
      </c>
    </row>
    <row r="24" spans="1:14" ht="12.75">
      <c r="A24" t="s">
        <v>105</v>
      </c>
      <c r="F24" s="10" t="s">
        <v>234</v>
      </c>
      <c r="G24" s="48"/>
      <c r="I24">
        <v>200009</v>
      </c>
      <c r="J24" s="15">
        <f>+'resold electricity calculation'!H24</f>
        <v>0</v>
      </c>
      <c r="K24" s="15">
        <f t="shared" si="3"/>
        <v>0</v>
      </c>
      <c r="L24" s="76">
        <f t="shared" si="5"/>
        <v>0</v>
      </c>
      <c r="M24" s="81">
        <f>+'resold electricity calculation'!K24</f>
        <v>0</v>
      </c>
      <c r="N24" s="76">
        <f t="shared" si="4"/>
        <v>0</v>
      </c>
    </row>
    <row r="25" spans="1:14" ht="15.75">
      <c r="A25" s="66" t="s">
        <v>72</v>
      </c>
      <c r="B25" s="53"/>
      <c r="C25" s="54"/>
      <c r="D25" s="52"/>
      <c r="I25">
        <v>200010</v>
      </c>
      <c r="J25" s="15">
        <f>+'resold electricity calculation'!H25</f>
        <v>0</v>
      </c>
      <c r="K25" s="15">
        <f t="shared" si="3"/>
        <v>0</v>
      </c>
      <c r="L25" s="76">
        <f t="shared" si="5"/>
        <v>0</v>
      </c>
      <c r="M25" s="81">
        <f>+'resold electricity calculation'!K25</f>
        <v>0</v>
      </c>
      <c r="N25" s="76">
        <f t="shared" si="4"/>
        <v>0</v>
      </c>
    </row>
    <row r="26" spans="1:14" ht="12.75">
      <c r="A26" t="s">
        <v>108</v>
      </c>
      <c r="I26">
        <v>200011</v>
      </c>
      <c r="J26" s="15">
        <f>+'resold electricity calculation'!H26</f>
        <v>0</v>
      </c>
      <c r="K26" s="15">
        <f t="shared" si="3"/>
        <v>0</v>
      </c>
      <c r="L26" s="76">
        <f t="shared" si="5"/>
        <v>0</v>
      </c>
      <c r="M26" s="81">
        <f>+'resold electricity calculation'!K26</f>
        <v>0</v>
      </c>
      <c r="N26" s="76">
        <f t="shared" si="4"/>
        <v>0</v>
      </c>
    </row>
    <row r="27" spans="1:14" ht="12.75">
      <c r="A27" t="s">
        <v>107</v>
      </c>
      <c r="I27">
        <v>200012</v>
      </c>
      <c r="J27" s="15">
        <f>+'resold electricity calculation'!H27</f>
        <v>0</v>
      </c>
      <c r="K27" s="15">
        <f t="shared" si="3"/>
        <v>0</v>
      </c>
      <c r="L27" s="76">
        <f t="shared" si="5"/>
        <v>0</v>
      </c>
      <c r="M27" s="81">
        <f>+'resold electricity calculation'!K27</f>
        <v>0</v>
      </c>
      <c r="N27" s="76">
        <f t="shared" si="4"/>
        <v>0</v>
      </c>
    </row>
    <row r="28" spans="1:14" ht="12.75">
      <c r="A28" t="s">
        <v>191</v>
      </c>
      <c r="I28" t="s">
        <v>35</v>
      </c>
      <c r="J28" s="16">
        <f>SUM(J16:J27)</f>
        <v>0</v>
      </c>
      <c r="K28" s="16">
        <f>SUM(K16:K27)</f>
        <v>0</v>
      </c>
      <c r="L28" s="77">
        <f>SUM(L16:L27)</f>
        <v>0</v>
      </c>
      <c r="N28" s="77">
        <f>SUM(N16:N27)</f>
        <v>0</v>
      </c>
    </row>
    <row r="29" ht="12.75">
      <c r="A29" t="s">
        <v>192</v>
      </c>
    </row>
    <row r="30" spans="1:14" ht="12.75">
      <c r="A30" t="s">
        <v>114</v>
      </c>
      <c r="I30">
        <v>200101</v>
      </c>
      <c r="J30" s="15">
        <f>+'resold electricity calculation'!H30</f>
        <v>0</v>
      </c>
      <c r="K30" s="15">
        <f aca="true" t="shared" si="6" ref="K30:K41">ROUND(J30*$F$15,0)</f>
        <v>0</v>
      </c>
      <c r="L30" s="76">
        <f>ROUND(K30*$G$19,2)</f>
        <v>0</v>
      </c>
      <c r="M30" s="81">
        <f>+'resold electricity calculation'!K30</f>
        <v>0</v>
      </c>
      <c r="N30" s="76">
        <f aca="true" t="shared" si="7" ref="N30:N41">ROUND(L30*M30,2)</f>
        <v>0</v>
      </c>
    </row>
    <row r="31" spans="1:14" ht="12.75">
      <c r="A31" t="s">
        <v>222</v>
      </c>
      <c r="I31">
        <v>200102</v>
      </c>
      <c r="J31" s="15">
        <f>+'resold electricity calculation'!H31</f>
        <v>0</v>
      </c>
      <c r="K31" s="15">
        <f t="shared" si="6"/>
        <v>0</v>
      </c>
      <c r="L31" s="76">
        <f aca="true" t="shared" si="8" ref="L31:L41">ROUND(K31*$G$19,2)</f>
        <v>0</v>
      </c>
      <c r="M31" s="81">
        <f>+'resold electricity calculation'!K31</f>
        <v>0</v>
      </c>
      <c r="N31" s="76">
        <f t="shared" si="7"/>
        <v>0</v>
      </c>
    </row>
    <row r="32" spans="1:14" ht="12.75">
      <c r="A32" t="s">
        <v>115</v>
      </c>
      <c r="I32">
        <v>200103</v>
      </c>
      <c r="J32" s="15">
        <f>+'resold electricity calculation'!H32</f>
        <v>0</v>
      </c>
      <c r="K32" s="15">
        <f t="shared" si="6"/>
        <v>0</v>
      </c>
      <c r="L32" s="76">
        <f t="shared" si="8"/>
        <v>0</v>
      </c>
      <c r="M32" s="81">
        <f>+'resold electricity calculation'!K32</f>
        <v>0</v>
      </c>
      <c r="N32" s="76">
        <f t="shared" si="7"/>
        <v>0</v>
      </c>
    </row>
    <row r="33" spans="1:14" ht="12.75">
      <c r="A33" t="s">
        <v>223</v>
      </c>
      <c r="I33">
        <v>200104</v>
      </c>
      <c r="J33" s="15">
        <f>+'resold electricity calculation'!H33</f>
        <v>0</v>
      </c>
      <c r="K33" s="15">
        <f t="shared" si="6"/>
        <v>0</v>
      </c>
      <c r="L33" s="76">
        <f t="shared" si="8"/>
        <v>0</v>
      </c>
      <c r="M33" s="81">
        <f>+'resold electricity calculation'!K33</f>
        <v>0</v>
      </c>
      <c r="N33" s="76">
        <f t="shared" si="7"/>
        <v>0</v>
      </c>
    </row>
    <row r="34" spans="1:14" ht="12.75">
      <c r="A34" t="s">
        <v>119</v>
      </c>
      <c r="I34">
        <v>200105</v>
      </c>
      <c r="J34" s="15">
        <f>+'resold electricity calculation'!H34</f>
        <v>0</v>
      </c>
      <c r="K34" s="15">
        <f t="shared" si="6"/>
        <v>0</v>
      </c>
      <c r="L34" s="76">
        <f t="shared" si="8"/>
        <v>0</v>
      </c>
      <c r="M34" s="81">
        <f>+'resold electricity calculation'!K34</f>
        <v>0</v>
      </c>
      <c r="N34" s="76">
        <f t="shared" si="7"/>
        <v>0</v>
      </c>
    </row>
    <row r="35" spans="1:14" ht="12.75">
      <c r="A35" t="s">
        <v>129</v>
      </c>
      <c r="I35">
        <v>200106</v>
      </c>
      <c r="J35" s="15">
        <f>+'resold electricity calculation'!H35</f>
        <v>0</v>
      </c>
      <c r="K35" s="15">
        <f t="shared" si="6"/>
        <v>0</v>
      </c>
      <c r="L35" s="76">
        <f t="shared" si="8"/>
        <v>0</v>
      </c>
      <c r="M35" s="81">
        <f>+'resold electricity calculation'!K35</f>
        <v>0</v>
      </c>
      <c r="N35" s="76">
        <f t="shared" si="7"/>
        <v>0</v>
      </c>
    </row>
    <row r="36" spans="1:14" ht="12.75">
      <c r="A36" t="s">
        <v>116</v>
      </c>
      <c r="I36">
        <v>200107</v>
      </c>
      <c r="J36" s="15">
        <f>+'resold electricity calculation'!H36</f>
        <v>0</v>
      </c>
      <c r="K36" s="15">
        <f t="shared" si="6"/>
        <v>0</v>
      </c>
      <c r="L36" s="76">
        <f t="shared" si="8"/>
        <v>0</v>
      </c>
      <c r="M36" s="81">
        <f>+'resold electricity calculation'!K36</f>
        <v>0</v>
      </c>
      <c r="N36" s="76">
        <f t="shared" si="7"/>
        <v>0</v>
      </c>
    </row>
    <row r="37" spans="1:14" ht="12.75">
      <c r="A37" t="s">
        <v>117</v>
      </c>
      <c r="I37">
        <v>200108</v>
      </c>
      <c r="J37" s="15">
        <f>+'resold electricity calculation'!H37</f>
        <v>0</v>
      </c>
      <c r="K37" s="15">
        <f t="shared" si="6"/>
        <v>0</v>
      </c>
      <c r="L37" s="76">
        <f t="shared" si="8"/>
        <v>0</v>
      </c>
      <c r="M37" s="81">
        <f>+'resold electricity calculation'!K37</f>
        <v>0</v>
      </c>
      <c r="N37" s="76">
        <f t="shared" si="7"/>
        <v>0</v>
      </c>
    </row>
    <row r="38" spans="1:14" ht="12.75">
      <c r="A38" t="s">
        <v>118</v>
      </c>
      <c r="I38">
        <v>200109</v>
      </c>
      <c r="J38" s="15">
        <f>+'resold electricity calculation'!H38</f>
        <v>0</v>
      </c>
      <c r="K38" s="15">
        <f t="shared" si="6"/>
        <v>0</v>
      </c>
      <c r="L38" s="76">
        <f t="shared" si="8"/>
        <v>0</v>
      </c>
      <c r="M38" s="81">
        <f>+'resold electricity calculation'!K38</f>
        <v>0</v>
      </c>
      <c r="N38" s="76">
        <f t="shared" si="7"/>
        <v>0</v>
      </c>
    </row>
    <row r="39" spans="1:14" ht="12.75">
      <c r="A39" t="s">
        <v>122</v>
      </c>
      <c r="I39">
        <v>200110</v>
      </c>
      <c r="J39" s="15">
        <f>+'resold electricity calculation'!H39</f>
        <v>0</v>
      </c>
      <c r="K39" s="15">
        <f t="shared" si="6"/>
        <v>0</v>
      </c>
      <c r="L39" s="76">
        <f t="shared" si="8"/>
        <v>0</v>
      </c>
      <c r="M39" s="81">
        <f>+'resold electricity calculation'!K39</f>
        <v>0</v>
      </c>
      <c r="N39" s="76">
        <f t="shared" si="7"/>
        <v>0</v>
      </c>
    </row>
    <row r="40" spans="1:14" ht="12.75">
      <c r="A40" s="7" t="s">
        <v>123</v>
      </c>
      <c r="I40">
        <v>200111</v>
      </c>
      <c r="J40" s="15">
        <f>+'resold electricity calculation'!H40</f>
        <v>0</v>
      </c>
      <c r="K40" s="15">
        <f t="shared" si="6"/>
        <v>0</v>
      </c>
      <c r="L40" s="76">
        <f t="shared" si="8"/>
        <v>0</v>
      </c>
      <c r="M40" s="81">
        <f>+'resold electricity calculation'!K40</f>
        <v>0</v>
      </c>
      <c r="N40" s="76">
        <f t="shared" si="7"/>
        <v>0</v>
      </c>
    </row>
    <row r="41" spans="1:14" ht="12.75">
      <c r="A41" t="s">
        <v>130</v>
      </c>
      <c r="I41">
        <v>200112</v>
      </c>
      <c r="J41" s="15">
        <f>+'resold electricity calculation'!H41</f>
        <v>0</v>
      </c>
      <c r="K41" s="15">
        <f t="shared" si="6"/>
        <v>0</v>
      </c>
      <c r="L41" s="76">
        <f t="shared" si="8"/>
        <v>0</v>
      </c>
      <c r="M41" s="81">
        <f>+'resold electricity calculation'!K41</f>
        <v>0</v>
      </c>
      <c r="N41" s="76">
        <f t="shared" si="7"/>
        <v>0</v>
      </c>
    </row>
    <row r="42" spans="1:14" ht="12.75">
      <c r="A42" t="s">
        <v>109</v>
      </c>
      <c r="I42" t="s">
        <v>35</v>
      </c>
      <c r="J42" s="16">
        <f>SUM(J30:J41)</f>
        <v>0</v>
      </c>
      <c r="K42" s="16">
        <f>SUM(K30:K41)</f>
        <v>0</v>
      </c>
      <c r="L42" s="77">
        <f>SUM(L30:L41)</f>
        <v>0</v>
      </c>
      <c r="N42" s="77">
        <f>SUM(N30:N41)</f>
        <v>0</v>
      </c>
    </row>
    <row r="43" ht="12.75">
      <c r="A43" t="s">
        <v>110</v>
      </c>
    </row>
    <row r="44" spans="1:14" ht="12.75">
      <c r="A44" t="s">
        <v>111</v>
      </c>
      <c r="I44">
        <v>200201</v>
      </c>
      <c r="J44" s="15">
        <f>+'resold electricity calculation'!H44</f>
        <v>0</v>
      </c>
      <c r="K44" s="15">
        <f aca="true" t="shared" si="9" ref="K44:K55">ROUND(J44*$F$15,0)</f>
        <v>0</v>
      </c>
      <c r="L44" s="76">
        <f>ROUND(K44*$G$20,2)</f>
        <v>0</v>
      </c>
      <c r="M44" s="81">
        <f>+'resold electricity calculation'!K44</f>
        <v>0</v>
      </c>
      <c r="N44" s="76">
        <f aca="true" t="shared" si="10" ref="N44:N55">ROUND(L44*M44,2)</f>
        <v>0</v>
      </c>
    </row>
    <row r="45" spans="1:14" ht="12.75">
      <c r="A45" t="s">
        <v>112</v>
      </c>
      <c r="I45">
        <v>200202</v>
      </c>
      <c r="J45" s="15">
        <f>+'resold electricity calculation'!H45</f>
        <v>0</v>
      </c>
      <c r="K45" s="15">
        <f t="shared" si="9"/>
        <v>0</v>
      </c>
      <c r="L45" s="76">
        <f aca="true" t="shared" si="11" ref="L45:L55">ROUND(K45*$G$20,2)</f>
        <v>0</v>
      </c>
      <c r="M45" s="81">
        <f>+'resold electricity calculation'!K45</f>
        <v>0</v>
      </c>
      <c r="N45" s="76">
        <f t="shared" si="10"/>
        <v>0</v>
      </c>
    </row>
    <row r="46" spans="1:14" ht="12.75">
      <c r="A46" t="s">
        <v>226</v>
      </c>
      <c r="I46">
        <v>200203</v>
      </c>
      <c r="J46" s="15">
        <f>+'resold electricity calculation'!H46</f>
        <v>0</v>
      </c>
      <c r="K46" s="15">
        <f t="shared" si="9"/>
        <v>0</v>
      </c>
      <c r="L46" s="76">
        <f t="shared" si="11"/>
        <v>0</v>
      </c>
      <c r="M46" s="81">
        <f>+'resold electricity calculation'!K46</f>
        <v>0</v>
      </c>
      <c r="N46" s="76">
        <f t="shared" si="10"/>
        <v>0</v>
      </c>
    </row>
    <row r="47" spans="1:14" ht="12.75">
      <c r="A47" t="s">
        <v>227</v>
      </c>
      <c r="I47">
        <v>200204</v>
      </c>
      <c r="J47" s="15">
        <f>+'resold electricity calculation'!H47</f>
        <v>0</v>
      </c>
      <c r="K47" s="15">
        <f t="shared" si="9"/>
        <v>0</v>
      </c>
      <c r="L47" s="76">
        <f t="shared" si="11"/>
        <v>0</v>
      </c>
      <c r="M47" s="81">
        <f>+'resold electricity calculation'!K47</f>
        <v>0</v>
      </c>
      <c r="N47" s="76">
        <f t="shared" si="10"/>
        <v>0</v>
      </c>
    </row>
    <row r="48" spans="1:14" ht="12.75">
      <c r="A48" t="s">
        <v>113</v>
      </c>
      <c r="I48">
        <v>200205</v>
      </c>
      <c r="J48" s="15">
        <f>+'resold electricity calculation'!H48</f>
        <v>0</v>
      </c>
      <c r="K48" s="15">
        <f t="shared" si="9"/>
        <v>0</v>
      </c>
      <c r="L48" s="76">
        <f t="shared" si="11"/>
        <v>0</v>
      </c>
      <c r="M48" s="81">
        <f>+'resold electricity calculation'!K48</f>
        <v>0</v>
      </c>
      <c r="N48" s="76">
        <f t="shared" si="10"/>
        <v>0</v>
      </c>
    </row>
    <row r="49" spans="1:14" ht="12.75">
      <c r="A49" t="s">
        <v>228</v>
      </c>
      <c r="I49">
        <v>200206</v>
      </c>
      <c r="J49" s="15">
        <f>+'resold electricity calculation'!H49</f>
        <v>0</v>
      </c>
      <c r="K49" s="15">
        <f t="shared" si="9"/>
        <v>0</v>
      </c>
      <c r="L49" s="76">
        <f t="shared" si="11"/>
        <v>0</v>
      </c>
      <c r="M49" s="81">
        <f>+'resold electricity calculation'!K49</f>
        <v>0</v>
      </c>
      <c r="N49" s="76">
        <f t="shared" si="10"/>
        <v>0</v>
      </c>
    </row>
    <row r="50" spans="1:14" ht="12.75">
      <c r="A50" t="s">
        <v>131</v>
      </c>
      <c r="I50">
        <v>200207</v>
      </c>
      <c r="J50" s="15">
        <f>+'resold electricity calculation'!H50</f>
        <v>0</v>
      </c>
      <c r="K50" s="15">
        <f t="shared" si="9"/>
        <v>0</v>
      </c>
      <c r="L50" s="76">
        <f t="shared" si="11"/>
        <v>0</v>
      </c>
      <c r="M50" s="81">
        <f>+'resold electricity calculation'!K50</f>
        <v>0</v>
      </c>
      <c r="N50" s="76">
        <f t="shared" si="10"/>
        <v>0</v>
      </c>
    </row>
    <row r="51" spans="1:14" ht="12.75">
      <c r="A51" s="7" t="s">
        <v>165</v>
      </c>
      <c r="I51">
        <v>200208</v>
      </c>
      <c r="J51" s="15">
        <f>+'resold electricity calculation'!H51</f>
        <v>0</v>
      </c>
      <c r="K51" s="15">
        <f t="shared" si="9"/>
        <v>0</v>
      </c>
      <c r="L51" s="76">
        <f t="shared" si="11"/>
        <v>0</v>
      </c>
      <c r="M51" s="81">
        <f>+'resold electricity calculation'!K51</f>
        <v>0</v>
      </c>
      <c r="N51" s="76">
        <f t="shared" si="10"/>
        <v>0</v>
      </c>
    </row>
    <row r="52" spans="1:14" ht="12.75">
      <c r="A52" s="7" t="s">
        <v>132</v>
      </c>
      <c r="I52">
        <v>200209</v>
      </c>
      <c r="J52" s="15">
        <f>+'resold electricity calculation'!H52</f>
        <v>0</v>
      </c>
      <c r="K52" s="15">
        <f t="shared" si="9"/>
        <v>0</v>
      </c>
      <c r="L52" s="76">
        <f t="shared" si="11"/>
        <v>0</v>
      </c>
      <c r="M52" s="81">
        <f>+'resold electricity calculation'!K52</f>
        <v>0</v>
      </c>
      <c r="N52" s="76">
        <f t="shared" si="10"/>
        <v>0</v>
      </c>
    </row>
    <row r="53" spans="1:14" ht="12.75">
      <c r="A53" t="s">
        <v>184</v>
      </c>
      <c r="I53">
        <v>200210</v>
      </c>
      <c r="J53" s="15">
        <f>+'resold electricity calculation'!H53</f>
        <v>0</v>
      </c>
      <c r="K53" s="15">
        <f t="shared" si="9"/>
        <v>0</v>
      </c>
      <c r="L53" s="76">
        <f t="shared" si="11"/>
        <v>0</v>
      </c>
      <c r="M53" s="81">
        <f>+'resold electricity calculation'!K53</f>
        <v>0</v>
      </c>
      <c r="N53" s="76">
        <f t="shared" si="10"/>
        <v>0</v>
      </c>
    </row>
    <row r="54" spans="1:14" ht="12.75">
      <c r="A54" t="s">
        <v>185</v>
      </c>
      <c r="I54">
        <v>200211</v>
      </c>
      <c r="J54" s="15">
        <f>+'resold electricity calculation'!H54</f>
        <v>0</v>
      </c>
      <c r="K54" s="15">
        <f t="shared" si="9"/>
        <v>0</v>
      </c>
      <c r="L54" s="76">
        <f t="shared" si="11"/>
        <v>0</v>
      </c>
      <c r="M54" s="81">
        <f>+'resold electricity calculation'!K54</f>
        <v>0</v>
      </c>
      <c r="N54" s="76">
        <f t="shared" si="10"/>
        <v>0</v>
      </c>
    </row>
    <row r="55" spans="9:14" ht="12.75">
      <c r="I55">
        <v>200212</v>
      </c>
      <c r="J55" s="15">
        <f>+'resold electricity calculation'!H55</f>
        <v>0</v>
      </c>
      <c r="K55" s="15">
        <f t="shared" si="9"/>
        <v>0</v>
      </c>
      <c r="L55" s="76">
        <f t="shared" si="11"/>
        <v>0</v>
      </c>
      <c r="M55" s="81">
        <f>+'resold electricity calculation'!K55</f>
        <v>0</v>
      </c>
      <c r="N55" s="76">
        <f t="shared" si="10"/>
        <v>0</v>
      </c>
    </row>
    <row r="56" spans="9:14" ht="12.75">
      <c r="I56" t="s">
        <v>35</v>
      </c>
      <c r="J56" s="16">
        <f>SUM(J44:J55)</f>
        <v>0</v>
      </c>
      <c r="K56" s="16">
        <f>SUM(K44:K55)</f>
        <v>0</v>
      </c>
      <c r="L56" s="77">
        <f>SUM(L44:L55)</f>
        <v>0</v>
      </c>
      <c r="N56" s="77">
        <f>SUM(N44:N55)</f>
        <v>0</v>
      </c>
    </row>
    <row r="58" spans="9:14" ht="12.75">
      <c r="I58">
        <v>200301</v>
      </c>
      <c r="J58" s="15">
        <f>+'resold electricity calculation'!H58</f>
        <v>0</v>
      </c>
      <c r="K58" s="15">
        <f aca="true" t="shared" si="12" ref="K58:K69">ROUND(J58*$F$15,0)</f>
        <v>0</v>
      </c>
      <c r="L58" s="76">
        <f>ROUND(K58*$G$21,2)</f>
        <v>0</v>
      </c>
      <c r="M58" s="81">
        <f>+'resold electricity calculation'!K58</f>
        <v>0</v>
      </c>
      <c r="N58" s="76">
        <f aca="true" t="shared" si="13" ref="N58:N69">ROUND(L58*M58,2)</f>
        <v>0</v>
      </c>
    </row>
    <row r="59" spans="9:14" ht="12.75">
      <c r="I59">
        <v>200302</v>
      </c>
      <c r="J59" s="15">
        <f>+'resold electricity calculation'!H59</f>
        <v>0</v>
      </c>
      <c r="K59" s="15">
        <f t="shared" si="12"/>
        <v>0</v>
      </c>
      <c r="L59" s="76">
        <f aca="true" t="shared" si="14" ref="L59:L69">ROUND(K59*$G$21,2)</f>
        <v>0</v>
      </c>
      <c r="M59" s="81">
        <f>+'resold electricity calculation'!K59</f>
        <v>0</v>
      </c>
      <c r="N59" s="76">
        <f t="shared" si="13"/>
        <v>0</v>
      </c>
    </row>
    <row r="60" spans="9:14" ht="12.75">
      <c r="I60">
        <v>200303</v>
      </c>
      <c r="J60" s="15">
        <f>+'resold electricity calculation'!H60</f>
        <v>0</v>
      </c>
      <c r="K60" s="15">
        <f t="shared" si="12"/>
        <v>0</v>
      </c>
      <c r="L60" s="76">
        <f t="shared" si="14"/>
        <v>0</v>
      </c>
      <c r="M60" s="81">
        <f>+'resold electricity calculation'!K60</f>
        <v>0</v>
      </c>
      <c r="N60" s="76">
        <f t="shared" si="13"/>
        <v>0</v>
      </c>
    </row>
    <row r="61" spans="9:14" ht="12.75">
      <c r="I61">
        <v>200304</v>
      </c>
      <c r="J61" s="15">
        <f>+'resold electricity calculation'!H61</f>
        <v>0</v>
      </c>
      <c r="K61" s="15">
        <f t="shared" si="12"/>
        <v>0</v>
      </c>
      <c r="L61" s="76">
        <f t="shared" si="14"/>
        <v>0</v>
      </c>
      <c r="M61" s="81">
        <f>+'resold electricity calculation'!K61</f>
        <v>0</v>
      </c>
      <c r="N61" s="76">
        <f t="shared" si="13"/>
        <v>0</v>
      </c>
    </row>
    <row r="62" spans="9:14" ht="12.75">
      <c r="I62">
        <v>200305</v>
      </c>
      <c r="J62" s="15">
        <f>+'resold electricity calculation'!H62</f>
        <v>0</v>
      </c>
      <c r="K62" s="15">
        <f t="shared" si="12"/>
        <v>0</v>
      </c>
      <c r="L62" s="76">
        <f t="shared" si="14"/>
        <v>0</v>
      </c>
      <c r="M62" s="81">
        <f>+'resold electricity calculation'!K62</f>
        <v>0</v>
      </c>
      <c r="N62" s="76">
        <f t="shared" si="13"/>
        <v>0</v>
      </c>
    </row>
    <row r="63" spans="1:14" ht="12.75">
      <c r="A63" s="50" t="s">
        <v>45</v>
      </c>
      <c r="I63">
        <v>200306</v>
      </c>
      <c r="J63" s="15">
        <f>+'resold electricity calculation'!H63</f>
        <v>0</v>
      </c>
      <c r="K63" s="15">
        <f t="shared" si="12"/>
        <v>0</v>
      </c>
      <c r="L63" s="76">
        <f t="shared" si="14"/>
        <v>0</v>
      </c>
      <c r="M63" s="81">
        <f>+'resold electricity calculation'!K63</f>
        <v>0</v>
      </c>
      <c r="N63" s="76">
        <f t="shared" si="13"/>
        <v>0</v>
      </c>
    </row>
    <row r="64" spans="1:14" ht="12.75">
      <c r="A64" s="22" t="s">
        <v>47</v>
      </c>
      <c r="I64">
        <v>200307</v>
      </c>
      <c r="J64" s="15">
        <f>+'resold electricity calculation'!H64</f>
        <v>0</v>
      </c>
      <c r="K64" s="15">
        <f t="shared" si="12"/>
        <v>0</v>
      </c>
      <c r="L64" s="76">
        <f t="shared" si="14"/>
        <v>0</v>
      </c>
      <c r="M64" s="81">
        <f>+'resold electricity calculation'!K64</f>
        <v>0</v>
      </c>
      <c r="N64" s="76">
        <f t="shared" si="13"/>
        <v>0</v>
      </c>
    </row>
    <row r="65" spans="1:14" ht="12.75">
      <c r="A65" s="22" t="s">
        <v>46</v>
      </c>
      <c r="I65">
        <v>200308</v>
      </c>
      <c r="J65" s="15">
        <f>+'resold electricity calculation'!H65</f>
        <v>0</v>
      </c>
      <c r="K65" s="15">
        <f t="shared" si="12"/>
        <v>0</v>
      </c>
      <c r="L65" s="76">
        <f t="shared" si="14"/>
        <v>0</v>
      </c>
      <c r="M65" s="81">
        <f>+'resold electricity calculation'!K65</f>
        <v>0</v>
      </c>
      <c r="N65" s="76">
        <f t="shared" si="13"/>
        <v>0</v>
      </c>
    </row>
    <row r="66" spans="1:14" ht="12.75">
      <c r="A66" s="22" t="s">
        <v>48</v>
      </c>
      <c r="I66">
        <v>200309</v>
      </c>
      <c r="J66" s="15">
        <f>+'resold electricity calculation'!H66</f>
        <v>0</v>
      </c>
      <c r="K66" s="15">
        <f t="shared" si="12"/>
        <v>0</v>
      </c>
      <c r="L66" s="76">
        <f t="shared" si="14"/>
        <v>0</v>
      </c>
      <c r="M66" s="81">
        <f>+'resold electricity calculation'!K66</f>
        <v>0</v>
      </c>
      <c r="N66" s="76">
        <f t="shared" si="13"/>
        <v>0</v>
      </c>
    </row>
    <row r="67" spans="9:14" ht="12.75">
      <c r="I67">
        <v>200310</v>
      </c>
      <c r="J67" s="15">
        <f>+'resold electricity calculation'!H67</f>
        <v>0</v>
      </c>
      <c r="K67" s="15">
        <f t="shared" si="12"/>
        <v>0</v>
      </c>
      <c r="L67" s="76">
        <f t="shared" si="14"/>
        <v>0</v>
      </c>
      <c r="M67" s="81">
        <f>+'resold electricity calculation'!K67</f>
        <v>0</v>
      </c>
      <c r="N67" s="76">
        <f t="shared" si="13"/>
        <v>0</v>
      </c>
    </row>
    <row r="68" spans="9:14" ht="12.75">
      <c r="I68">
        <v>200311</v>
      </c>
      <c r="J68" s="15">
        <f>+'resold electricity calculation'!H68</f>
        <v>0</v>
      </c>
      <c r="K68" s="15">
        <f t="shared" si="12"/>
        <v>0</v>
      </c>
      <c r="L68" s="76">
        <f t="shared" si="14"/>
        <v>0</v>
      </c>
      <c r="M68" s="81">
        <f>+'resold electricity calculation'!K68</f>
        <v>0</v>
      </c>
      <c r="N68" s="76">
        <f t="shared" si="13"/>
        <v>0</v>
      </c>
    </row>
    <row r="69" spans="9:14" ht="12.75">
      <c r="I69">
        <v>200312</v>
      </c>
      <c r="J69" s="15">
        <f>+'resold electricity calculation'!H69</f>
        <v>0</v>
      </c>
      <c r="K69" s="15">
        <f t="shared" si="12"/>
        <v>0</v>
      </c>
      <c r="L69" s="76">
        <f t="shared" si="14"/>
        <v>0</v>
      </c>
      <c r="M69" s="81">
        <f>+'resold electricity calculation'!K69</f>
        <v>0</v>
      </c>
      <c r="N69" s="76">
        <f t="shared" si="13"/>
        <v>0</v>
      </c>
    </row>
    <row r="70" spans="9:14" ht="12.75">
      <c r="I70" t="s">
        <v>35</v>
      </c>
      <c r="J70" s="16">
        <f>SUM(J58:J69)</f>
        <v>0</v>
      </c>
      <c r="K70" s="16">
        <f>SUM(K58:K69)</f>
        <v>0</v>
      </c>
      <c r="L70" s="77">
        <f>SUM(L58:L69)</f>
        <v>0</v>
      </c>
      <c r="N70" s="77">
        <f>SUM(N58:N69)</f>
        <v>0</v>
      </c>
    </row>
    <row r="72" spans="9:14" ht="12.75">
      <c r="I72">
        <v>200401</v>
      </c>
      <c r="J72" s="15">
        <f>+'resold electricity calculation'!H72</f>
        <v>0</v>
      </c>
      <c r="K72" s="15">
        <f aca="true" t="shared" si="15" ref="K72:K83">ROUND(J72*$F$15,0)</f>
        <v>0</v>
      </c>
      <c r="L72" s="76">
        <f>ROUND(K72*$G$22,2)</f>
        <v>0</v>
      </c>
      <c r="M72" s="81">
        <f>+'resold electricity calculation'!K72</f>
        <v>0</v>
      </c>
      <c r="N72" s="76">
        <f aca="true" t="shared" si="16" ref="N72:N83">ROUND(L72*M72,2)</f>
        <v>0</v>
      </c>
    </row>
    <row r="73" spans="9:14" ht="12.75">
      <c r="I73">
        <v>200402</v>
      </c>
      <c r="J73" s="15">
        <f>+'resold electricity calculation'!H73</f>
        <v>0</v>
      </c>
      <c r="K73" s="15">
        <f t="shared" si="15"/>
        <v>0</v>
      </c>
      <c r="L73" s="76">
        <f aca="true" t="shared" si="17" ref="L73:L83">ROUND(K73*$G$22,2)</f>
        <v>0</v>
      </c>
      <c r="M73" s="81">
        <f>+'resold electricity calculation'!K73</f>
        <v>0</v>
      </c>
      <c r="N73" s="76">
        <f t="shared" si="16"/>
        <v>0</v>
      </c>
    </row>
    <row r="74" spans="9:14" ht="12.75">
      <c r="I74">
        <v>200403</v>
      </c>
      <c r="J74" s="15">
        <f>+'resold electricity calculation'!H74</f>
        <v>0</v>
      </c>
      <c r="K74" s="15">
        <f t="shared" si="15"/>
        <v>0</v>
      </c>
      <c r="L74" s="76">
        <f t="shared" si="17"/>
        <v>0</v>
      </c>
      <c r="M74" s="81">
        <f>+'resold electricity calculation'!K74</f>
        <v>0</v>
      </c>
      <c r="N74" s="76">
        <f t="shared" si="16"/>
        <v>0</v>
      </c>
    </row>
    <row r="75" spans="9:14" ht="12.75">
      <c r="I75">
        <v>200404</v>
      </c>
      <c r="J75" s="15">
        <f>+'resold electricity calculation'!H75</f>
        <v>0</v>
      </c>
      <c r="K75" s="15">
        <f t="shared" si="15"/>
        <v>0</v>
      </c>
      <c r="L75" s="76">
        <f t="shared" si="17"/>
        <v>0</v>
      </c>
      <c r="M75" s="81">
        <f>+'resold electricity calculation'!K75</f>
        <v>0</v>
      </c>
      <c r="N75" s="76">
        <f t="shared" si="16"/>
        <v>0</v>
      </c>
    </row>
    <row r="76" spans="9:14" ht="12.75">
      <c r="I76">
        <v>200405</v>
      </c>
      <c r="J76" s="15">
        <f>+'resold electricity calculation'!H76</f>
        <v>0</v>
      </c>
      <c r="K76" s="15">
        <f t="shared" si="15"/>
        <v>0</v>
      </c>
      <c r="L76" s="76">
        <f t="shared" si="17"/>
        <v>0</v>
      </c>
      <c r="M76" s="81">
        <f>+'resold electricity calculation'!K76</f>
        <v>0</v>
      </c>
      <c r="N76" s="76">
        <f t="shared" si="16"/>
        <v>0</v>
      </c>
    </row>
    <row r="77" spans="9:14" ht="12.75">
      <c r="I77">
        <v>200406</v>
      </c>
      <c r="J77" s="15">
        <f>+'resold electricity calculation'!H77</f>
        <v>0</v>
      </c>
      <c r="K77" s="15">
        <f t="shared" si="15"/>
        <v>0</v>
      </c>
      <c r="L77" s="76">
        <f t="shared" si="17"/>
        <v>0</v>
      </c>
      <c r="M77" s="81">
        <f>+'resold electricity calculation'!K77</f>
        <v>0</v>
      </c>
      <c r="N77" s="76">
        <f t="shared" si="16"/>
        <v>0</v>
      </c>
    </row>
    <row r="78" spans="9:14" ht="12.75">
      <c r="I78">
        <v>200407</v>
      </c>
      <c r="J78" s="15">
        <f>+'resold electricity calculation'!H78</f>
        <v>0</v>
      </c>
      <c r="K78" s="15">
        <f t="shared" si="15"/>
        <v>0</v>
      </c>
      <c r="L78" s="76">
        <f t="shared" si="17"/>
        <v>0</v>
      </c>
      <c r="M78" s="81">
        <f>+'resold electricity calculation'!K78</f>
        <v>0</v>
      </c>
      <c r="N78" s="76">
        <f t="shared" si="16"/>
        <v>0</v>
      </c>
    </row>
    <row r="79" spans="9:14" ht="12.75">
      <c r="I79">
        <v>200408</v>
      </c>
      <c r="J79" s="15">
        <f>+'resold electricity calculation'!H79</f>
        <v>0</v>
      </c>
      <c r="K79" s="15">
        <f t="shared" si="15"/>
        <v>0</v>
      </c>
      <c r="L79" s="76">
        <f t="shared" si="17"/>
        <v>0</v>
      </c>
      <c r="M79" s="81">
        <f>+'resold electricity calculation'!K79</f>
        <v>0</v>
      </c>
      <c r="N79" s="76">
        <f t="shared" si="16"/>
        <v>0</v>
      </c>
    </row>
    <row r="80" spans="9:14" ht="12.75">
      <c r="I80">
        <v>200409</v>
      </c>
      <c r="J80" s="15">
        <f>+'resold electricity calculation'!H80</f>
        <v>0</v>
      </c>
      <c r="K80" s="15">
        <f t="shared" si="15"/>
        <v>0</v>
      </c>
      <c r="L80" s="76">
        <f t="shared" si="17"/>
        <v>0</v>
      </c>
      <c r="M80" s="81">
        <f>+'resold electricity calculation'!K80</f>
        <v>0</v>
      </c>
      <c r="N80" s="76">
        <f t="shared" si="16"/>
        <v>0</v>
      </c>
    </row>
    <row r="81" spans="9:14" ht="12.75">
      <c r="I81">
        <v>200410</v>
      </c>
      <c r="J81" s="15">
        <f>+'resold electricity calculation'!H81</f>
        <v>0</v>
      </c>
      <c r="K81" s="15">
        <f t="shared" si="15"/>
        <v>0</v>
      </c>
      <c r="L81" s="76">
        <f t="shared" si="17"/>
        <v>0</v>
      </c>
      <c r="M81" s="81">
        <f>+'resold electricity calculation'!K81</f>
        <v>0</v>
      </c>
      <c r="N81" s="76">
        <f t="shared" si="16"/>
        <v>0</v>
      </c>
    </row>
    <row r="82" spans="9:14" ht="12.75">
      <c r="I82">
        <v>200411</v>
      </c>
      <c r="J82" s="15">
        <f>+'resold electricity calculation'!H82</f>
        <v>0</v>
      </c>
      <c r="K82" s="15">
        <f t="shared" si="15"/>
        <v>0</v>
      </c>
      <c r="L82" s="76">
        <f t="shared" si="17"/>
        <v>0</v>
      </c>
      <c r="M82" s="81">
        <f>+'resold electricity calculation'!K82</f>
        <v>0</v>
      </c>
      <c r="N82" s="76">
        <f t="shared" si="16"/>
        <v>0</v>
      </c>
    </row>
    <row r="83" spans="9:14" ht="12.75">
      <c r="I83">
        <v>200412</v>
      </c>
      <c r="J83" s="15">
        <f>+'resold electricity calculation'!H83</f>
        <v>0</v>
      </c>
      <c r="K83" s="15">
        <f t="shared" si="15"/>
        <v>0</v>
      </c>
      <c r="L83" s="76">
        <f t="shared" si="17"/>
        <v>0</v>
      </c>
      <c r="M83" s="81">
        <f>+'resold electricity calculation'!K83</f>
        <v>0</v>
      </c>
      <c r="N83" s="76">
        <f t="shared" si="16"/>
        <v>0</v>
      </c>
    </row>
    <row r="84" spans="9:14" ht="12.75">
      <c r="I84" t="s">
        <v>35</v>
      </c>
      <c r="J84" s="16">
        <f>SUM(J72:J83)</f>
        <v>0</v>
      </c>
      <c r="K84" s="16">
        <f>SUM(K72:K83)</f>
        <v>0</v>
      </c>
      <c r="L84" s="77">
        <f>SUM(L72:L83)</f>
        <v>0</v>
      </c>
      <c r="N84" s="77">
        <f>SUM(N72:N83)</f>
        <v>0</v>
      </c>
    </row>
    <row r="86" spans="9:14" ht="12.75">
      <c r="I86">
        <v>200501</v>
      </c>
      <c r="J86" s="15">
        <f>+'resold electricity calculation'!H86</f>
        <v>0</v>
      </c>
      <c r="K86" s="15">
        <f>ROUND(J86*$F$15,0)</f>
        <v>0</v>
      </c>
      <c r="L86" s="76">
        <f>ROUND(K86*$G$23,2)</f>
        <v>0</v>
      </c>
      <c r="M86" s="81">
        <f>+'resold electricity calculation'!K86</f>
        <v>0</v>
      </c>
      <c r="N86" s="76">
        <f>ROUND(L86*M86,2)</f>
        <v>0</v>
      </c>
    </row>
    <row r="87" spans="9:14" ht="12.75">
      <c r="I87">
        <v>200502</v>
      </c>
      <c r="J87" s="15">
        <f>+'resold electricity calculation'!H87</f>
        <v>0</v>
      </c>
      <c r="K87" s="15">
        <f>ROUND(J87*$F$15,0)</f>
        <v>0</v>
      </c>
      <c r="L87" s="76">
        <f aca="true" t="shared" si="18" ref="L87:L97">ROUND(K87*$G$23,2)</f>
        <v>0</v>
      </c>
      <c r="M87" s="81">
        <f>+'resold electricity calculation'!K87</f>
        <v>0</v>
      </c>
      <c r="N87" s="76">
        <f>ROUND(L87*M87,2)</f>
        <v>0</v>
      </c>
    </row>
    <row r="88" spans="9:14" ht="12.75">
      <c r="I88">
        <v>200503</v>
      </c>
      <c r="J88" s="15">
        <f>+'resold electricity calculation'!H88</f>
        <v>0</v>
      </c>
      <c r="K88" s="15">
        <f>ROUND(J88*$F$15,0)</f>
        <v>0</v>
      </c>
      <c r="L88" s="76">
        <f t="shared" si="18"/>
        <v>0</v>
      </c>
      <c r="M88" s="81">
        <f>+'resold electricity calculation'!K88</f>
        <v>0</v>
      </c>
      <c r="N88" s="76">
        <f>ROUND(L88*M88,2)</f>
        <v>0</v>
      </c>
    </row>
    <row r="89" spans="9:14" ht="12.75">
      <c r="I89">
        <v>200504</v>
      </c>
      <c r="J89" s="15">
        <f>+'resold electricity calculation'!H89</f>
        <v>0</v>
      </c>
      <c r="K89" s="15">
        <f aca="true" t="shared" si="19" ref="K89:K97">ROUND(J89*$F$15,0)</f>
        <v>0</v>
      </c>
      <c r="L89" s="76">
        <f t="shared" si="18"/>
        <v>0</v>
      </c>
      <c r="M89" s="81">
        <f>+'resold electricity calculation'!K89</f>
        <v>0</v>
      </c>
      <c r="N89" s="76">
        <f aca="true" t="shared" si="20" ref="N89:N97">ROUND(L89*M89,2)</f>
        <v>0</v>
      </c>
    </row>
    <row r="90" spans="9:14" ht="12.75">
      <c r="I90">
        <v>200505</v>
      </c>
      <c r="J90" s="15">
        <f>+'resold electricity calculation'!H90</f>
        <v>0</v>
      </c>
      <c r="K90" s="15">
        <f t="shared" si="19"/>
        <v>0</v>
      </c>
      <c r="L90" s="76">
        <f t="shared" si="18"/>
        <v>0</v>
      </c>
      <c r="M90" s="81">
        <f>+'resold electricity calculation'!K90</f>
        <v>0</v>
      </c>
      <c r="N90" s="76">
        <f t="shared" si="20"/>
        <v>0</v>
      </c>
    </row>
    <row r="91" spans="9:14" ht="12.75">
      <c r="I91">
        <v>200506</v>
      </c>
      <c r="J91" s="15">
        <f>+'resold electricity calculation'!H91</f>
        <v>0</v>
      </c>
      <c r="K91" s="15">
        <f t="shared" si="19"/>
        <v>0</v>
      </c>
      <c r="L91" s="76">
        <f t="shared" si="18"/>
        <v>0</v>
      </c>
      <c r="M91" s="81">
        <f>+'resold electricity calculation'!K91</f>
        <v>0</v>
      </c>
      <c r="N91" s="76">
        <f t="shared" si="20"/>
        <v>0</v>
      </c>
    </row>
    <row r="92" spans="9:14" ht="12.75">
      <c r="I92">
        <v>200507</v>
      </c>
      <c r="J92" s="15">
        <f>+'resold electricity calculation'!H92</f>
        <v>0</v>
      </c>
      <c r="K92" s="15">
        <f t="shared" si="19"/>
        <v>0</v>
      </c>
      <c r="L92" s="76">
        <f t="shared" si="18"/>
        <v>0</v>
      </c>
      <c r="M92" s="81">
        <f>+'resold electricity calculation'!K92</f>
        <v>0</v>
      </c>
      <c r="N92" s="76">
        <f t="shared" si="20"/>
        <v>0</v>
      </c>
    </row>
    <row r="93" spans="9:14" ht="12.75">
      <c r="I93">
        <v>200508</v>
      </c>
      <c r="J93" s="15">
        <f>+'resold electricity calculation'!H93</f>
        <v>0</v>
      </c>
      <c r="K93" s="15">
        <f t="shared" si="19"/>
        <v>0</v>
      </c>
      <c r="L93" s="76">
        <f t="shared" si="18"/>
        <v>0</v>
      </c>
      <c r="M93" s="81">
        <f>+'resold electricity calculation'!K93</f>
        <v>0</v>
      </c>
      <c r="N93" s="76">
        <f t="shared" si="20"/>
        <v>0</v>
      </c>
    </row>
    <row r="94" spans="9:14" ht="12.75">
      <c r="I94">
        <v>200509</v>
      </c>
      <c r="J94" s="15">
        <f>+'resold electricity calculation'!H94</f>
        <v>0</v>
      </c>
      <c r="K94" s="15">
        <f t="shared" si="19"/>
        <v>0</v>
      </c>
      <c r="L94" s="76">
        <f t="shared" si="18"/>
        <v>0</v>
      </c>
      <c r="M94" s="81">
        <f>+'resold electricity calculation'!K94</f>
        <v>0</v>
      </c>
      <c r="N94" s="76">
        <f t="shared" si="20"/>
        <v>0</v>
      </c>
    </row>
    <row r="95" spans="9:14" ht="12.75">
      <c r="I95">
        <v>200510</v>
      </c>
      <c r="J95" s="15">
        <f>+'resold electricity calculation'!H95</f>
        <v>0</v>
      </c>
      <c r="K95" s="15">
        <f t="shared" si="19"/>
        <v>0</v>
      </c>
      <c r="L95" s="76">
        <f t="shared" si="18"/>
        <v>0</v>
      </c>
      <c r="M95" s="81">
        <f>+'resold electricity calculation'!K95</f>
        <v>0</v>
      </c>
      <c r="N95" s="76">
        <f t="shared" si="20"/>
        <v>0</v>
      </c>
    </row>
    <row r="96" spans="9:14" ht="12.75">
      <c r="I96">
        <v>200511</v>
      </c>
      <c r="J96" s="15">
        <f>+'resold electricity calculation'!H96</f>
        <v>0</v>
      </c>
      <c r="K96" s="15">
        <f t="shared" si="19"/>
        <v>0</v>
      </c>
      <c r="L96" s="76">
        <f t="shared" si="18"/>
        <v>0</v>
      </c>
      <c r="M96" s="81">
        <f>+'resold electricity calculation'!K96</f>
        <v>0</v>
      </c>
      <c r="N96" s="76">
        <f t="shared" si="20"/>
        <v>0</v>
      </c>
    </row>
    <row r="97" spans="9:14" ht="12.75">
      <c r="I97">
        <v>200512</v>
      </c>
      <c r="J97" s="15">
        <f>+'resold electricity calculation'!H97</f>
        <v>0</v>
      </c>
      <c r="K97" s="15">
        <f t="shared" si="19"/>
        <v>0</v>
      </c>
      <c r="L97" s="76">
        <f t="shared" si="18"/>
        <v>0</v>
      </c>
      <c r="M97" s="81">
        <f>+'resold electricity calculation'!K97</f>
        <v>0</v>
      </c>
      <c r="N97" s="76">
        <f t="shared" si="20"/>
        <v>0</v>
      </c>
    </row>
    <row r="98" spans="9:14" ht="12.75">
      <c r="I98" t="s">
        <v>35</v>
      </c>
      <c r="J98" s="16">
        <f>SUM(J86:J97)</f>
        <v>0</v>
      </c>
      <c r="K98" s="16">
        <f>SUM(K86:K97)</f>
        <v>0</v>
      </c>
      <c r="L98" s="77">
        <f>SUM(L86:L97)</f>
        <v>0</v>
      </c>
      <c r="N98" s="77">
        <f>SUM(N86:N97)</f>
        <v>0</v>
      </c>
    </row>
    <row r="99" spans="10:14" ht="12.75">
      <c r="J99" s="98"/>
      <c r="K99" s="98"/>
      <c r="L99" s="96"/>
      <c r="N99" s="96"/>
    </row>
    <row r="100" spans="9:14" ht="12.75">
      <c r="I100">
        <v>200601</v>
      </c>
      <c r="J100" s="15">
        <f>+'resold electricity calculation'!H100</f>
        <v>0</v>
      </c>
      <c r="K100" s="15">
        <f>ROUND(J100*$F$15,0)</f>
        <v>0</v>
      </c>
      <c r="L100" s="76">
        <f>ROUND(K100*$G$24,2)</f>
        <v>0</v>
      </c>
      <c r="M100" s="81">
        <f>+'resold electricity calculation'!K100</f>
        <v>0</v>
      </c>
      <c r="N100" s="76">
        <f>ROUND(L100*M100,2)</f>
        <v>0</v>
      </c>
    </row>
    <row r="101" spans="9:14" ht="12.75">
      <c r="I101">
        <v>200602</v>
      </c>
      <c r="J101" s="15">
        <f>+'resold electricity calculation'!H101</f>
        <v>0</v>
      </c>
      <c r="K101" s="15">
        <f>ROUND(J101*$F$15,0)</f>
        <v>0</v>
      </c>
      <c r="L101" s="76">
        <f>ROUND(K101*$G$24,2)</f>
        <v>0</v>
      </c>
      <c r="M101" s="81">
        <f>+'resold electricity calculation'!K101</f>
        <v>0</v>
      </c>
      <c r="N101" s="76">
        <f>ROUND(L101*M101,2)</f>
        <v>0</v>
      </c>
    </row>
    <row r="102" spans="9:14" ht="12.75">
      <c r="I102">
        <v>200603</v>
      </c>
      <c r="J102" s="15">
        <f>+'resold electricity calculation'!H102</f>
        <v>0</v>
      </c>
      <c r="K102" s="15">
        <f>ROUND(J102*$F$15,0)</f>
        <v>0</v>
      </c>
      <c r="L102" s="76">
        <f>ROUND(K102*$G$24,2)</f>
        <v>0</v>
      </c>
      <c r="M102" s="81">
        <f>+'resold electricity calculation'!K102</f>
        <v>0</v>
      </c>
      <c r="N102" s="76">
        <f>ROUND(L102*M102,2)</f>
        <v>0</v>
      </c>
    </row>
    <row r="103" spans="9:14" ht="12.75">
      <c r="I103">
        <v>200604</v>
      </c>
      <c r="J103" s="15">
        <f>+'resold electricity calculation'!H103</f>
        <v>0</v>
      </c>
      <c r="K103" s="15">
        <f>ROUND(J103*$F$15,0)</f>
        <v>0</v>
      </c>
      <c r="L103" s="76">
        <f>ROUND(K103*$G$24,2)</f>
        <v>0</v>
      </c>
      <c r="M103" s="81">
        <f>+'resold electricity calculation'!K103</f>
        <v>0</v>
      </c>
      <c r="N103" s="76">
        <f>ROUND(L103*M103,2)</f>
        <v>0</v>
      </c>
    </row>
    <row r="104" spans="9:14" ht="12.75">
      <c r="I104">
        <v>200605</v>
      </c>
      <c r="J104" s="15">
        <f>+'resold electricity calculation'!H104</f>
        <v>0</v>
      </c>
      <c r="K104" s="15">
        <f>ROUND(J104*$F$15,0)</f>
        <v>0</v>
      </c>
      <c r="L104" s="76">
        <f>ROUND(K104*$G$24,2)</f>
        <v>0</v>
      </c>
      <c r="M104" s="81">
        <f>+'resold electricity calculation'!K104</f>
        <v>0</v>
      </c>
      <c r="N104" s="76">
        <f>ROUND(L104*M104,2)</f>
        <v>0</v>
      </c>
    </row>
    <row r="105" spans="9:14" ht="12.75">
      <c r="I105" t="s">
        <v>35</v>
      </c>
      <c r="J105" s="16">
        <f>SUM(J100:J104)</f>
        <v>0</v>
      </c>
      <c r="K105" s="16">
        <f>SUM(K100:K104)</f>
        <v>0</v>
      </c>
      <c r="L105" s="77">
        <f>SUM(L100:L104)</f>
        <v>0</v>
      </c>
      <c r="N105" s="77">
        <f>SUM(N100:N104)</f>
        <v>0</v>
      </c>
    </row>
    <row r="107" spans="9:14" ht="13.5" thickBot="1">
      <c r="I107" t="s">
        <v>230</v>
      </c>
      <c r="J107" s="86">
        <f>SUM(J2:J105)/2</f>
        <v>0</v>
      </c>
      <c r="K107" s="86">
        <f>SUM(K2:K105)/2</f>
        <v>0</v>
      </c>
      <c r="L107" s="87">
        <f>SUM(L2:L105)/2</f>
        <v>0</v>
      </c>
      <c r="N107" s="87">
        <f>SUM(N2:N105)/2</f>
        <v>0</v>
      </c>
    </row>
    <row r="108" ht="13.5" thickTop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GaikoS</dc:creator>
  <cp:keywords/>
  <dc:description/>
  <cp:lastModifiedBy>GardnJ</cp:lastModifiedBy>
  <cp:lastPrinted>2005-03-22T23:47:00Z</cp:lastPrinted>
  <dcterms:created xsi:type="dcterms:W3CDTF">2002-11-12T16:14:34Z</dcterms:created>
  <dcterms:modified xsi:type="dcterms:W3CDTF">2006-03-14T16:58:24Z</dcterms:modified>
  <cp:category/>
  <cp:version/>
  <cp:contentType/>
  <cp:contentStatus/>
</cp:coreProperties>
</file>